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28530" windowHeight="11595" tabRatio="500" activeTab="0"/>
  </bookViews>
  <sheets>
    <sheet name="ПФХД 2023" sheetId="1" r:id="rId1"/>
    <sheet name="ПФХД 2024" sheetId="2" r:id="rId2"/>
    <sheet name="ПФХД 2025" sheetId="3" r:id="rId3"/>
    <sheet name="2023 расх" sheetId="4" r:id="rId4"/>
    <sheet name="2024 расх" sheetId="5" r:id="rId5"/>
    <sheet name="расх 2025" sheetId="6" r:id="rId6"/>
    <sheet name="2023 Доходы" sheetId="7" r:id="rId7"/>
    <sheet name="2024 доходы" sheetId="8" r:id="rId8"/>
    <sheet name="2025 доходы" sheetId="9" r:id="rId9"/>
    <sheet name="новая Таблица 2.1." sheetId="10" r:id="rId10"/>
    <sheet name="расх иные 2023" sheetId="11" r:id="rId11"/>
    <sheet name="расх иные 2024" sheetId="12" r:id="rId12"/>
    <sheet name="расх иные 2025" sheetId="13" r:id="rId13"/>
    <sheet name="Лист1" sheetId="14" r:id="rId14"/>
  </sheets>
  <definedNames>
    <definedName name="Excel_BuiltIn_Print_Area" localSheetId="4">'2024 расх'!$A$1:$H$379</definedName>
    <definedName name="Excel_BuiltIn_Print_Area" localSheetId="0">NA()</definedName>
    <definedName name="Excel_BuiltIn_Print_Area" localSheetId="1">NA()</definedName>
    <definedName name="Excel_BuiltIn_Print_Area" localSheetId="2">NA()</definedName>
    <definedName name="Excel_BuiltIn_Print_Area" localSheetId="5">'расх 2025'!$A$1:$H$379</definedName>
    <definedName name="_xlnm.Print_Area" localSheetId="4">'2024 расх'!$A$1:$H$379</definedName>
    <definedName name="_xlnm.Print_Area" localSheetId="0">'ПФХД 2023'!$A$1:$J$87</definedName>
    <definedName name="_xlnm.Print_Area" localSheetId="1">'ПФХД 2024'!$A$1:$J$84</definedName>
    <definedName name="_xlnm.Print_Area" localSheetId="2">'ПФХД 2025'!$A$1:$J$84</definedName>
    <definedName name="_xlnm.Print_Area" localSheetId="5">'расх 2025'!$A$1:$H$379</definedName>
  </definedNames>
  <calcPr fullCalcOnLoad="1"/>
</workbook>
</file>

<file path=xl/sharedStrings.xml><?xml version="1.0" encoding="utf-8"?>
<sst xmlns="http://schemas.openxmlformats.org/spreadsheetml/2006/main" count="2631" uniqueCount="406">
  <si>
    <t>Таблица 1</t>
  </si>
  <si>
    <t xml:space="preserve">Раздел 1. Поступления и выплаты 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</si>
  <si>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</si>
  <si>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</si>
  <si>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</si>
  <si>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</si>
  <si>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Объем финансового обеспечения, руб. (с точностью до двух знаков после запятой – 0,00)</t>
  </si>
  <si>
    <t>всего</t>
  </si>
  <si>
    <t>в том числе:</t>
  </si>
  <si>
    <t xml:space="preserve">субсидии на финансовое обеспечение выполнения государственного задания </t>
  </si>
  <si>
    <t>субсидии, предоставляемые в соответствии с абзацем 2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</si>
  <si>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</si>
  <si>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</si>
  <si>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</si>
  <si>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 xml:space="preserve">Остаток средств на начало текущего финансового года 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</si>
  <si>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</si>
  <si>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</si>
  <si>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</si>
  <si>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</si>
  <si>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</si>
  <si>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X</t>
  </si>
  <si>
    <t>Доходы от собственности</t>
  </si>
  <si>
    <t>Доходы от оказания платных услуг (работ), компенсаций затрат, всего</t>
  </si>
  <si>
    <t>в том числе:                                                                                                                                                                                              Доходы от оказания платных услуг (работ)</t>
  </si>
  <si>
    <t xml:space="preserve">Субсидии на финансовое обеспечение выполнения государственного задания </t>
  </si>
  <si>
    <t>Безвозмездные денежные поступления, всего</t>
  </si>
  <si>
    <t xml:space="preserve">Поступления текущего характера бюджетным и автономным учреждениям от сектора государственного управления 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</si>
  <si>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</si>
  <si>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Безвозмездные денежные поступления капитального характера</t>
  </si>
  <si>
    <t>в том числе:                                                                                                                                                                                              Поступления капитального характера от других бюджетов бюджетной системы Российской Федерации</t>
  </si>
  <si>
    <t>Поступления капитального характера бюджетным и автономным учреждениям от сектора государственного управления</t>
  </si>
  <si>
    <t>Доходы от операций с активами, всего</t>
  </si>
  <si>
    <t>Прочие доходы, всего</t>
  </si>
  <si>
    <t>Выплаты по расходам, всего:</t>
  </si>
  <si>
    <t>Х</t>
  </si>
  <si>
    <t>на выплаты персоналу всего:</t>
  </si>
  <si>
    <t>из них:</t>
  </si>
  <si>
    <t>Заработная плата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</si>
  <si>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</si>
  <si>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</si>
  <si>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>Транспортные услуги</t>
  </si>
  <si>
    <t>Прочие работы, услуги</t>
  </si>
  <si>
    <t>Прочие несоциальные выплаты персоналу в натуральной форме</t>
  </si>
  <si>
    <t xml:space="preserve"> Начисления на выплаты по оплате труда</t>
  </si>
  <si>
    <t xml:space="preserve"> Социальные и иные выплаты населению, всего</t>
  </si>
  <si>
    <t>Уплата налогов, сборов и иных платежей, всего</t>
  </si>
  <si>
    <t>Налоги, пошлины и сборы</t>
  </si>
  <si>
    <t>Прочие расходы</t>
  </si>
  <si>
    <t>291-296</t>
  </si>
  <si>
    <t xml:space="preserve"> Безвозмездные перечисления организациям</t>
  </si>
  <si>
    <t xml:space="preserve"> Прочие расходы (кроме расходов на закупку товаров, работ, услуг)</t>
  </si>
  <si>
    <t xml:space="preserve"> Расходы на закупку товаров, работ, услуг, всего</t>
  </si>
  <si>
    <t xml:space="preserve">в том числе:                                                                                                                                                                                             на закупку товаров, работ, услуг в целях капитального ремонта государственного имущества                             </t>
  </si>
  <si>
    <t>из них:                                                                                                                                                                                                        Работы, услуги по содержанию имущества</t>
  </si>
  <si>
    <t>Услуги, работы для целей капитальных вложений</t>
  </si>
  <si>
    <t>Увеличение стоимости основных средств</t>
  </si>
  <si>
    <t>Прочую закупку товаров, работ и услуг, всего</t>
  </si>
  <si>
    <t>2620-2630</t>
  </si>
  <si>
    <t>Из них:                                                                                                                                                                                                      Услуги связи</t>
  </si>
  <si>
    <t>Коммунальные услуги</t>
  </si>
  <si>
    <t>Работы, услуги по содержанию имущества</t>
  </si>
  <si>
    <t>Страхование</t>
  </si>
  <si>
    <t>Увеличение стоимости лекарственных препаратов и материалов, применяемых в медицинских целях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</si>
  <si>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</si>
  <si>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</si>
  <si>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</si>
  <si>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</si>
  <si>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</si>
  <si>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</si>
  <si>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Закупка энергетических ресурсов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</si>
  <si>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</si>
  <si>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</si>
  <si>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</si>
  <si>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</si>
  <si>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</si>
  <si>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</si>
  <si>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(уполномоченное лицо)</t>
  </si>
  <si>
    <t>(подпись)</t>
  </si>
  <si>
    <t>(расшифровка подписи)</t>
  </si>
  <si>
    <t>Главный бухгалтер</t>
  </si>
  <si>
    <t>И.М. Туржанская</t>
  </si>
  <si>
    <t>М.П.</t>
  </si>
  <si>
    <t>Таблица 1 (продолжение)</t>
  </si>
  <si>
    <t>На 2024 год  (первый год планового периода)</t>
  </si>
  <si>
    <t>Доходы от оказания платных услуг (работ), компенсаций затрат</t>
  </si>
  <si>
    <t>Безвозмездные денежные поступления всего</t>
  </si>
  <si>
    <t>Прочие доходы</t>
  </si>
  <si>
    <t>291-295</t>
  </si>
  <si>
    <t>из них:                                                                                                                                                                                                                                    Работы, услуги по содержанию имущества</t>
  </si>
  <si>
    <t xml:space="preserve">Из них:                                                                                                                                                                                                                                   Услуги связи      </t>
  </si>
  <si>
    <t>На 2025 год  (второй год планового периода)</t>
  </si>
  <si>
    <t>Приложение № 2</t>
  </si>
  <si>
    <r>
      <rPr>
        <sz val="12"/>
        <color indexed="8"/>
        <rFont val="Times New Roman"/>
        <family val="1"/>
      </rPr>
      <t xml:space="preserve">к Порядку </t>
    </r>
    <r>
      <rPr>
        <sz val="12"/>
        <rFont val="Times New Roman"/>
        <family val="1"/>
      </rPr>
      <t>составления и утверждения плана финансово-хозяйственной деятельности государственных бюджетных учреждений, в отношении которых функции и полномочия учредителя осуществляет Департамент труда и социальной защиты населения города Севастополя</t>
    </r>
  </si>
  <si>
    <t xml:space="preserve">к плану финансово-хозяйственной деятельности </t>
  </si>
  <si>
    <t>от ____________</t>
  </si>
  <si>
    <t>(дата)</t>
  </si>
  <si>
    <t>Государственного бюджетного учреждения "Севастопольский дом-интернат для престарелых и инвалидов"</t>
  </si>
  <si>
    <t>(наименование учреждения)</t>
  </si>
  <si>
    <t xml:space="preserve">на 2023 год </t>
  </si>
  <si>
    <t>Единица измерения : рубль.</t>
  </si>
  <si>
    <t>1.  Расчет расходов на оплату труда и страховых взносов на обязательное социальное страхование (включаются расходы на оплату труда, компенсационные выплаты, включая пособия, выплачиваемые из фонда оплаты труда, а также 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социальное страхование от несчастных случаев на производстве и профессиональных заболеваний, на обязательное медицинское страхование)</t>
  </si>
  <si>
    <t>Код вида расходов 111</t>
  </si>
  <si>
    <t>1.1. Расчеты (обоснования) расходов на оплату труда</t>
  </si>
  <si>
    <t>Вид расходов 111  КОСГУ 211</t>
  </si>
  <si>
    <t>№ п/п</t>
  </si>
  <si>
    <t>Категория работников</t>
  </si>
  <si>
    <t>Источник финансового обеспечения</t>
  </si>
  <si>
    <t>Всего, рублей</t>
  </si>
  <si>
    <t>бюджет города Севастополя</t>
  </si>
  <si>
    <t>Среднесписочная численность (планируемая)</t>
  </si>
  <si>
    <t>Среднемесячный доход от трудовой деятельности(на соответствующий финансовый год)</t>
  </si>
  <si>
    <t xml:space="preserve">Период, мес.(календарный год) </t>
  </si>
  <si>
    <t>Сумма, рублей</t>
  </si>
  <si>
    <t>8 = 6 + 7</t>
  </si>
  <si>
    <t>Врачи</t>
  </si>
  <si>
    <t>Средний мед.персонал</t>
  </si>
  <si>
    <t>Младший мед. персонал</t>
  </si>
  <si>
    <t>Прочие работники соц. сферы</t>
  </si>
  <si>
    <t>Итого:</t>
  </si>
  <si>
    <t>x</t>
  </si>
  <si>
    <t>1.2. Расчеты (обоснования) расходов на социальные пособия и  компенсации персоналу в денежной форме</t>
  </si>
  <si>
    <t>Вид расходов 111  КОСГУ 266</t>
  </si>
  <si>
    <t>Размер одной выплаты руб.</t>
  </si>
  <si>
    <t xml:space="preserve">Количество выплат в год </t>
  </si>
  <si>
    <t>5 = 3 * 4</t>
  </si>
  <si>
    <t>7 = 5 + 6</t>
  </si>
  <si>
    <t>Пособия за первые три дня временной нетрудоспособности за счет средств работодателя</t>
  </si>
  <si>
    <t>ВСЕГО по коду вида расходов _____</t>
  </si>
  <si>
    <t>Код вида расходов 119</t>
  </si>
  <si>
    <t>1.3. Расчеты (обоснования) начислений на выплаты по оплате труда</t>
  </si>
  <si>
    <t>Вид расходов 119 КОСГУ 213</t>
  </si>
  <si>
    <t>Среднесписочная численность(планируемая)</t>
  </si>
  <si>
    <t>ФОТ работников по учреждению</t>
  </si>
  <si>
    <t>Размер начислений на выплаты по оплате труда, %</t>
  </si>
  <si>
    <t>Общая сумма выплат, рублей</t>
  </si>
  <si>
    <t>5 = 3 * 4 : 100</t>
  </si>
  <si>
    <t>Страховые взносы в Пенсионный фонд РФ, всего</t>
  </si>
  <si>
    <t>1.1.</t>
  </si>
  <si>
    <t>Страховые взносы в Фонд социального страхования Российской Федерации, всего  </t>
  </si>
  <si>
    <t>2.1.</t>
  </si>
  <si>
    <t>обязательное социальное страхование на случай временной нетрудоспособности и в связи с материнством  по ставке 2,9 %</t>
  </si>
  <si>
    <t>2.2.</t>
  </si>
  <si>
    <t>обязательное социальное страхование от несчастных случаев на производстве и профессиональных заболеваний по ставке 0,2 %</t>
  </si>
  <si>
    <t>Страховые взносы в Федеральный фонд обязательного медицинского страхования, всего по ставке 5,1 %</t>
  </si>
  <si>
    <t>2. Расчеты (обоснования) расходов на выплаты по социальному обеспечению и иным выплатам населению, не связанным с выплатами работникам, возникающими в рамках трудовых отношений (расходов по социальному обеспечению населения вне рамок систем государственного пенсионного, социального, медицинского страхования)</t>
  </si>
  <si>
    <t>Код вида расходов 112</t>
  </si>
  <si>
    <t>Вид расходов 112 КОСГУ 266</t>
  </si>
  <si>
    <t>Размер одной выплаты, руб.</t>
  </si>
  <si>
    <t>Общая сумма, рублей</t>
  </si>
  <si>
    <t>Ежемесячные компенсационные выплаты в размере 50 рублей сотрудникам, находящимся в отпуске по уходу за ребёнком до достижения им возраста 3 лет</t>
  </si>
  <si>
    <t>Вид расходов 112 КОСГУ 212</t>
  </si>
  <si>
    <t>Оплата суточных при служебных командировках (5 сут*500 руб)</t>
  </si>
  <si>
    <t>Вид расходов 112 КОСГУ 214</t>
  </si>
  <si>
    <t>Компенсационная выплата работникам, занятым на работах с вредными условиями труда</t>
  </si>
  <si>
    <t>Вид расходов 112 КОСГУ 226</t>
  </si>
  <si>
    <t>Возмещение расходов на прохождение медицинского осмотра</t>
  </si>
  <si>
    <t>Оплата проезда в командировку</t>
  </si>
  <si>
    <t>Оплата проживания в командировке</t>
  </si>
  <si>
    <t>3. Расчет (обоснование) расходов на уплату налогов, сборов и иных платежей</t>
  </si>
  <si>
    <r>
      <rPr>
        <sz val="14"/>
        <color indexed="8"/>
        <rFont val="Times New Roman"/>
        <family val="1"/>
      </rPr>
      <t xml:space="preserve">Код вида расходов </t>
    </r>
    <r>
      <rPr>
        <u val="single"/>
        <sz val="14"/>
        <color indexed="8"/>
        <rFont val="Times New Roman"/>
        <family val="1"/>
      </rPr>
      <t xml:space="preserve"> 852, 853</t>
    </r>
  </si>
  <si>
    <t>Вид расходов 852, 853  КОСГУ 291-296</t>
  </si>
  <si>
    <t>Наименование расходов</t>
  </si>
  <si>
    <t>Налоговая база, руб.</t>
  </si>
  <si>
    <t>Ставка налога, %</t>
  </si>
  <si>
    <t>Сумма исчисленного налога, рублей</t>
  </si>
  <si>
    <t>1.</t>
  </si>
  <si>
    <t>Транспортный налог (132,4 л.с.*2ед.*5,0 руб),пошлины и др.   (852.291)</t>
  </si>
  <si>
    <t>2.</t>
  </si>
  <si>
    <t>Штрафы за нарушение законодательства о налогах и сборах, законодательства о страховых взносах (853.292)</t>
  </si>
  <si>
    <t>3.</t>
  </si>
  <si>
    <t>Штрафы за нарушение законодательства о закупках и нарушения условий контрактов (пени) 853.293</t>
  </si>
  <si>
    <t>4.</t>
  </si>
  <si>
    <t>Другие экономические санкции 9пошлины исборы) (853.295-296)</t>
  </si>
  <si>
    <t>852-853</t>
  </si>
  <si>
    <t>5. Расчет (обоснование) расходов на закупку товаров, работ, услуг</t>
  </si>
  <si>
    <r>
      <rPr>
        <sz val="14"/>
        <color indexed="8"/>
        <rFont val="Times New Roman"/>
        <family val="1"/>
      </rPr>
      <t>Код вида расходов</t>
    </r>
    <r>
      <rPr>
        <u val="single"/>
        <sz val="14"/>
        <color indexed="8"/>
        <rFont val="Times New Roman"/>
        <family val="1"/>
      </rPr>
      <t xml:space="preserve"> 243</t>
    </r>
  </si>
  <si>
    <t>5.5. Расчет (обоснование) расходов на оплату услуг, работ для целей капитальных вложений</t>
  </si>
  <si>
    <t>Код вида расходов 243  КОСГУ 228</t>
  </si>
  <si>
    <t>Количество договоров</t>
  </si>
  <si>
    <t>6 = 4 + 5</t>
  </si>
  <si>
    <t>Услуги технадзора за проведением капитального ремонта</t>
  </si>
  <si>
    <t>ВСЕГО по коду вида расходов 243</t>
  </si>
  <si>
    <t>Код вида расходов 244</t>
  </si>
  <si>
    <t>5.1. Расчет (обоснование) расходов на оплату услуг связи</t>
  </si>
  <si>
    <t>Код вида расходов 244   КОСГУ 221</t>
  </si>
  <si>
    <t>Количество номеров</t>
  </si>
  <si>
    <t>Количество платежей в год</t>
  </si>
  <si>
    <t>Стоимость за единицу, руб.</t>
  </si>
  <si>
    <t>6 = 3 * 4 * 5</t>
  </si>
  <si>
    <t>Абонентная и повременная оплата за телефон</t>
  </si>
  <si>
    <t>Расходы по оплате ADSL (Интернет)</t>
  </si>
  <si>
    <t>Расходы по оплате абонплаты за радиоточки</t>
  </si>
  <si>
    <t>Расходы на приобрет.почтовых марок, конвертов</t>
  </si>
  <si>
    <t>5.2. Расчет (обоснование) расходов на оплату транспортных услуг</t>
  </si>
  <si>
    <t>Код вида расходов 244  КОСГУ222</t>
  </si>
  <si>
    <t>Количество услуг перевозки</t>
  </si>
  <si>
    <t>Цена услуги перевозки, руб.</t>
  </si>
  <si>
    <t>Расходы на оплату транспорта для культмассовых меро-й (экскурсий, музеев и т.д.)</t>
  </si>
  <si>
    <t>Расходы на оплату транспорта для доставки ПСУ из личебных учреждений</t>
  </si>
  <si>
    <t>5.3. Расчет (обоснование) расходов на оплату коммунальных услуг</t>
  </si>
  <si>
    <t>Код вида расходов 244  КОСГУ 223</t>
  </si>
  <si>
    <t>Размер потребления ресурсов</t>
  </si>
  <si>
    <t>Тариф (с учетом НДС), руб.</t>
  </si>
  <si>
    <t>Индексация, %</t>
  </si>
  <si>
    <t>Водоснабжение и водоотведение, м.куб с 01.01.2022</t>
  </si>
  <si>
    <t>Водоснабжение и водоотведение, м.куб с 01.07.2022</t>
  </si>
  <si>
    <t>Плата за негативное воздействие на работу ЦСВ 1 полугодие (водоотведение*0,5)</t>
  </si>
  <si>
    <t>Плата за негативное воздействие на работу ЦСВ 2 полугодие (водоотведение*0,5)</t>
  </si>
  <si>
    <t>Код вида расходов 247  КОСГУ 223</t>
  </si>
  <si>
    <t>Освещение, КВт/ч с 01.01.2022</t>
  </si>
  <si>
    <t>Освещение, КВт/ч с 01.07.2022</t>
  </si>
  <si>
    <t>Отопление помещений с узлом учета тепла (в течение отопительного сезона), Гкал. С 01.01.2022</t>
  </si>
  <si>
    <t>Отопление помещений с узлом учета тепла (в течение отопительного сезона), Гкал. С 01.07.2022</t>
  </si>
  <si>
    <t>Теплоснабжения для подачи ГВС, Гкал. С 01.01.2022</t>
  </si>
  <si>
    <t>Теплоснабжения для подачи ГВС, Гкал. С 01.07.2022</t>
  </si>
  <si>
    <t>5.4. Расчет (обоснование) расходов на оплату работ, услуг по содержанию имущества</t>
  </si>
  <si>
    <t>Код вида расходов 244   КОСГУ 225</t>
  </si>
  <si>
    <t>Объект</t>
  </si>
  <si>
    <t>Количество работ (услуг)</t>
  </si>
  <si>
    <t>Вывоз и уборку мусора</t>
  </si>
  <si>
    <t>ГБУ "СДИДПИ"</t>
  </si>
  <si>
    <t>Дезинсекция и дератизация помещений</t>
  </si>
  <si>
    <t>Расходы на оплату услуг по организации стирки белья для ПСУ(аутсорсинг)</t>
  </si>
  <si>
    <t>Вывоз отходов 1-4 класса опасности (в т.ч. медицинских отходов, отходов из жироотделителей)</t>
  </si>
  <si>
    <t>Техническое обслуживание, текущий ремонт лифтового оборудования,  мед.оборудования, дез.камеры,  холодильного, бытового, весового,  кухонного и прачечного оборудования, ККМ, бытовой техники, оргтехники, ремонт инвентаря,  служебного автотранспорта, сопровождение и тех.поддержка АТС, ТО системы идентификации пользователей, ТО ЛВС, беспроводной системы вызова мед.персонала</t>
  </si>
  <si>
    <t>Техническое обслуживание и ремонт кондиционеров, систем вентиляции, отоп., канализации, водопровода</t>
  </si>
  <si>
    <r>
      <rPr>
        <sz val="11"/>
        <color indexed="8"/>
        <rFont val="Times New Roman"/>
        <family val="1"/>
      </rPr>
      <t xml:space="preserve">Тех. обслуживание, монтаж и ремонт ОПС, восстановительные работы по автоматизированной противопожарной системе (контроль за сост. модуля с выводом на пульт 01 ЦУС- г. Севастополя), </t>
    </r>
    <r>
      <rPr>
        <sz val="10"/>
        <color indexed="8"/>
        <rFont val="Times New Roman"/>
        <family val="1"/>
      </rPr>
      <t>измерение сопротивления электропроводки , защитное заземление и т.д.</t>
    </r>
  </si>
  <si>
    <t>Медицинские услуги по лабораторным исследованиям</t>
  </si>
  <si>
    <t>Текущий ремонт здания</t>
  </si>
  <si>
    <t>Техническое обслуживание и ремонт системы видеонаблюдения, внешней и внутренней безопасности здания</t>
  </si>
  <si>
    <t>Заправка и техобслуживание огнетушителей</t>
  </si>
  <si>
    <t>Гос. поверка и клеймение весового хозяйства,  мед.приборов и аппаратов, поверка водомеров и узлов учета тепла, обследование технического состояния (аттестация) объектов нефинансовых активов (включая диагностику автотранспорта и техосмотр), периодическое освидетельствование лифтов</t>
  </si>
  <si>
    <t>Заправка катриджей к ксероксам и факсам</t>
  </si>
  <si>
    <t>Сопровождение и обновление сайта учреждения</t>
  </si>
  <si>
    <t>5.5. Расчет (обоснование) расходов на оплату прочих работ, услуг</t>
  </si>
  <si>
    <t>Код вида расходов 244   КОСГУ 226</t>
  </si>
  <si>
    <t>Расходы по медицинскому осмотру  работников (с учётом высокой текучести кадров)</t>
  </si>
  <si>
    <t>Расходы на медицинские обследования получателей социальных услуг</t>
  </si>
  <si>
    <t>Услуги вневедомственной охраны ( в т.ч. тревожная кнопка)</t>
  </si>
  <si>
    <t>Расходы на оплату договоров на подписку периодической литературы</t>
  </si>
  <si>
    <t>Расходы по оплате мероприятий по обучению работников</t>
  </si>
  <si>
    <t>Обслуживание программного обеспечения, приобретение лицензионных прав доступа к различным базам данных.</t>
  </si>
  <si>
    <t>Расходы по оплате мероприятий по охране труда, технике безопасности, расчет категорий взрывоопасности и пожарной опасности, пожарного риска, разработка паспортов отходов, энергетического паспорта</t>
  </si>
  <si>
    <t>Типографские работы, услуги (изготовление бланков, журналов и т.п.)</t>
  </si>
  <si>
    <t>ПСД на выполнение работ (кроме работ по капитальному ремонту)(244)</t>
  </si>
  <si>
    <t>Оценка технического состояния активов с целью основания списания</t>
  </si>
  <si>
    <t>Установка, монтаж, пусконаладка систем, оборудования</t>
  </si>
  <si>
    <t>5.6. Расчет (обоснование) расходов на страхование</t>
  </si>
  <si>
    <t>Код вида расходов 244  КОСГУ 227</t>
  </si>
  <si>
    <t>Страхование гражданской ответственности владельцев транспортных средств</t>
  </si>
  <si>
    <t>Страхование имущества</t>
  </si>
  <si>
    <t>5.7. Расчет (обоснование) расходов на приобретение основных средств</t>
  </si>
  <si>
    <t>Код вида расходов 244   КОСГУ 310</t>
  </si>
  <si>
    <t>Количество</t>
  </si>
  <si>
    <t>Средняя стоимость, руб.</t>
  </si>
  <si>
    <t>Медицинское оборудование</t>
  </si>
  <si>
    <t>Кухонное оборудование</t>
  </si>
  <si>
    <t>Мебель</t>
  </si>
  <si>
    <t>Прочие основные средства (жалюзи)</t>
  </si>
  <si>
    <t>5.8. Расчет (обоснование) расходов на приобретение материальных запасов</t>
  </si>
  <si>
    <t>Код вида расходов 244   КОСГУ 341</t>
  </si>
  <si>
    <t>5.8.1</t>
  </si>
  <si>
    <t>Медикаменты (в т.ч. перевязочные средства)</t>
  </si>
  <si>
    <t>Средства оказания первой доврачебной помощи в случае ЧС (перевязочные средства, медицинские укладки и т.п.)</t>
  </si>
  <si>
    <t>Дезинфицирующие средства медицинские</t>
  </si>
  <si>
    <t>Код вида расходов 244   КОСГУ 342</t>
  </si>
  <si>
    <t>5.8.2</t>
  </si>
  <si>
    <t>Продукты питания (исходя из фактической потребности)</t>
  </si>
  <si>
    <t>Код вида расходов 244   КОСГУ 343</t>
  </si>
  <si>
    <t>5.8.3</t>
  </si>
  <si>
    <t>Горюче-смазочные материалы</t>
  </si>
  <si>
    <t>Код вида расходов 244  КОСГУ 344</t>
  </si>
  <si>
    <t>5.8.4</t>
  </si>
  <si>
    <t>Стройматериалы, сантехника, электроматериалы и т.п. (для текущего ремонта своими силами)</t>
  </si>
  <si>
    <t>Код вида расходов 244   КОСГУ 345</t>
  </si>
  <si>
    <t>5.8.5.</t>
  </si>
  <si>
    <t>Мягкий инвентарь для ПСУ</t>
  </si>
  <si>
    <t>Мягкий инвентарь для мероприятий по гражданской защите (спецодежда, обувь и т.п.)</t>
  </si>
  <si>
    <r>
      <rPr>
        <sz val="12"/>
        <rFont val="Times New Roman"/>
        <family val="1"/>
      </rPr>
      <t xml:space="preserve">Специальные средства защиты для мероприятий по гражданской защиты </t>
    </r>
    <r>
      <rPr>
        <sz val="11"/>
        <rFont val="Times New Roman"/>
        <family val="1"/>
      </rPr>
      <t>(противогазы, респираторы, и т.п.)</t>
    </r>
  </si>
  <si>
    <t>Специальные средства защиты для мероприятий по гражданской защиты (самоспасатели, и т.п.)</t>
  </si>
  <si>
    <t>Спецодежда для сотрудников</t>
  </si>
  <si>
    <t>Код вида расходов 244   КОСГУ  346</t>
  </si>
  <si>
    <t>5.8.6</t>
  </si>
  <si>
    <t>Приобретение обсорбирующих средств в т.ч. памперсы</t>
  </si>
  <si>
    <t xml:space="preserve">Средства бытовой химии, включая:
моющие средства для хозяйственных целей (мытье полов, стен, сантехнического оборудования)
</t>
  </si>
  <si>
    <t>Товары хозяйственно-бытового и гигиенического назначения</t>
  </si>
  <si>
    <t>Дезинфицирующие средства</t>
  </si>
  <si>
    <t>Бумага А4 для ксероксов и принтеров (упак.)</t>
  </si>
  <si>
    <t>Канцелярские товары</t>
  </si>
  <si>
    <t>Мед. инструменты и материалы</t>
  </si>
  <si>
    <t>Запасные части для оборудования (оргтехн., мед оборуд. и др.оборуд.), дооборудование охр.системы</t>
  </si>
  <si>
    <t>Приобретение (изготовление) печатей и штампов</t>
  </si>
  <si>
    <t>Код вида расходов 244  КОСГУ 349</t>
  </si>
  <si>
    <t>5.8.7</t>
  </si>
  <si>
    <t>Бланки строгой отчетности (Свидетельства о смерти)</t>
  </si>
  <si>
    <t>ИТОГО по КВР 244 КОСГУ 340</t>
  </si>
  <si>
    <t>5.9. Расчет (обоснование) расходов на прочие несоциальные выплаты персоналу в натуральной форме</t>
  </si>
  <si>
    <t>Код вида расходов 244   КОСГУ 214</t>
  </si>
  <si>
    <t xml:space="preserve">Количество </t>
  </si>
  <si>
    <t>Приобретение молока или других равноценных продуктов работникам с вредными условиями труда</t>
  </si>
  <si>
    <t>ИТОГО ПО РАСЧЕТУ БЕЗ З/П:</t>
  </si>
  <si>
    <t>ИТОГО ПО РАСЧЕТУ:</t>
  </si>
  <si>
    <t xml:space="preserve">(Уполномоченное лицо) </t>
  </si>
  <si>
    <t xml:space="preserve">на 2024 год </t>
  </si>
  <si>
    <t xml:space="preserve">на 2025 год </t>
  </si>
  <si>
    <t>Приложение № 3</t>
  </si>
  <si>
    <t xml:space="preserve">на  2023 год </t>
  </si>
  <si>
    <t>1. Доходы от оказания услуг (выполнения работ) в рамках установленного государственного (муниципального) задания в виде субсидии на финансовое обеспечение выполнения государственного (муниципального) задания, от оказания медицинских услуг, предоставляемых застрахованным лицам в рамках обязательного медицинского страхования, а также женщинам в период беременности, женщинам и новорожденным в период родов и в послеродовой период на основании родового сертификата)</t>
  </si>
  <si>
    <r>
      <rPr>
        <sz val="14"/>
        <rFont val="Times New Roman"/>
        <family val="1"/>
      </rPr>
      <t>Код аналитической группы подвида доходов</t>
    </r>
    <r>
      <rPr>
        <sz val="12"/>
        <rFont val="Times New Roman"/>
        <family val="1"/>
      </rPr>
      <t xml:space="preserve"> 130 КОСГУ 131</t>
    </r>
  </si>
  <si>
    <t>Наименование услуги (работы)</t>
  </si>
  <si>
    <t>Объем услуг (работ), установленных государственным (муниципальным) заданием</t>
  </si>
  <si>
    <t>Плата (цена, тариф) за указанную услугу (работу)</t>
  </si>
  <si>
    <t>5=3*4</t>
  </si>
  <si>
    <t>Поступления от оказания услуг (выполнения работ) на платной основе и от иной приносящей доход деятельности</t>
  </si>
  <si>
    <t>ВСЕГО по коду аналитической группы подвида доходов 130</t>
  </si>
  <si>
    <t>5. Доходы в виде целевых субсидий, а также субсидий на осуществление капитальных вложений</t>
  </si>
  <si>
    <t>Код аналитической группы подвида доходов 150 КОСГУ 152</t>
  </si>
  <si>
    <t>Наименование субсидии</t>
  </si>
  <si>
    <t>Субсидии, предоставляемые в соответствии с абзацем 2 пункта 1 статьи 78.1 Бюджетного кодекса Российской Федерации</t>
  </si>
  <si>
    <t>ВСЕГО по коду аналитической группы подвида доходов 150</t>
  </si>
  <si>
    <t xml:space="preserve"> </t>
  </si>
  <si>
    <t xml:space="preserve">на  2024 год </t>
  </si>
  <si>
    <t xml:space="preserve">на  2025 год </t>
  </si>
  <si>
    <t>Раздел 2. Сведения по выплатам на закупки товаров, работ, услуг</t>
  </si>
  <si>
    <t>N п/п</t>
  </si>
  <si>
    <t>Коды строк</t>
  </si>
  <si>
    <t>Год начала закупки</t>
  </si>
  <si>
    <t>Сумма</t>
  </si>
  <si>
    <t>на 2023 г. (текущий финансовый год)</t>
  </si>
  <si>
    <t>на 2024 г. (первый год планового периода)</t>
  </si>
  <si>
    <t>на 2025 г. (второй год планового периода)</t>
  </si>
  <si>
    <t>Выплаты на закупку товаров, работ, услуг, всего</t>
  </si>
  <si>
    <t>1.1</t>
  </si>
  <si>
    <t xml:space="preserve">в том числе: по контрактам (договорам), заключенным до начала текущего финансового года без применения норм Федерального закона от 5 апреля 2013 г. N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от 18 июля 2011 г. N 223-ФЗ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 </t>
  </si>
  <si>
    <t>1.2.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</si>
  <si>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 </t>
  </si>
  <si>
    <t>1.3.</t>
  </si>
  <si>
    <t xml:space="preserve">по контрактам (договорам), заключенным до начала текущего финансового года с учетом требований Федерального закона N 44-ФЗ и Федерального закона N 223-ФЗ </t>
  </si>
  <si>
    <t>1.4.</t>
  </si>
  <si>
    <t xml:space="preserve"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 </t>
  </si>
  <si>
    <t>1.4.1.</t>
  </si>
  <si>
    <t>в том числе: за счет субсидий, предоставляемых на финансовое обеспечение выполнения государственного задания</t>
  </si>
  <si>
    <t>1.4.1.1.</t>
  </si>
  <si>
    <t>в том числе:                                                                                                                                                              в соответствии с Федеральным законом N 44-ФЗ</t>
  </si>
  <si>
    <t>1.4.1.2.</t>
  </si>
  <si>
    <t>в соответствии с Федеральным законом N 223-ФЗ</t>
  </si>
  <si>
    <t>1.4.2.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</si>
  <si>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</si>
  <si>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</si>
  <si>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1.4.2.2.</t>
  </si>
  <si>
    <t>1.4.3.</t>
  </si>
  <si>
    <t>за счет субсидий, предоставляемых на осуществление капитальных вложений</t>
  </si>
  <si>
    <t>1.4.4.</t>
  </si>
  <si>
    <t>за счет средств обязательного медицинского страхования</t>
  </si>
  <si>
    <t>1.4.4.1.</t>
  </si>
  <si>
    <t>в том числе:                                                                                                                                                               в соответствии с Федеральным законом N 44-ФЗ</t>
  </si>
  <si>
    <t>1.4.4.2.</t>
  </si>
  <si>
    <t xml:space="preserve">в соответствии с Федеральным законом N 223-ФЗ </t>
  </si>
  <si>
    <t>1.4.5.</t>
  </si>
  <si>
    <t>за счет прочих источников финансового обеспечения</t>
  </si>
  <si>
    <t>1.4.5.1.</t>
  </si>
  <si>
    <t>1.4.5.2.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</si>
  <si>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</si>
  <si>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в том числе по году начала закупки:</t>
  </si>
  <si>
    <t>2.3.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</si>
  <si>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</si>
  <si>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3.1.</t>
  </si>
  <si>
    <t>3.2.</t>
  </si>
  <si>
    <t>3.3.</t>
  </si>
  <si>
    <t>на субсидии, предоставляемые в соответствии с абзацем 2 пункта 1 статьи 78.1 Бюджетного кодекса Российской Федерации</t>
  </si>
  <si>
    <t>Уплата налогов, сборов и иных платежей</t>
  </si>
  <si>
    <t xml:space="preserve">в том числе:                                                                                                                                                                                                                             на закупку товаров, работ, услуг в целях капитального ремонта государственного имущества                             </t>
  </si>
  <si>
    <t>из них:                                                                                                                                                                                                                                        Работы, услуги по содержанию имущества</t>
  </si>
  <si>
    <t>Из них:                                                                                                                                                                                                                                      Услуги связи</t>
  </si>
  <si>
    <t>в том числе:                                                                                                                                                                                                                                                                                                                       Поступления капитального характера от других бюджетов бюджетной системы Российской Федерации</t>
  </si>
  <si>
    <t>в том числе:                                                                                                                                                                                                                                    Доходы от оказания платных услуг (работ)</t>
  </si>
  <si>
    <t>в том числе:                                                                                                                                                                                                                                 Доходы от оказания платных услуг (работ)</t>
  </si>
  <si>
    <t>в том числе:                                                                                                                                                                                                                                       Поступления капитального характера от других бюджетов бюджетной системы Российской Федерации</t>
  </si>
  <si>
    <t xml:space="preserve">в том числе:                                                                                                                                                                                                                                               на закупку товаров, работ, услуг в целях капитального ремонта государственного имущества                             </t>
  </si>
  <si>
    <t>514,34 *</t>
  </si>
  <si>
    <t>534,91*</t>
  </si>
  <si>
    <t>556,31 *</t>
  </si>
  <si>
    <r>
      <t xml:space="preserve">Тех. обслуживание, монтаж и ремонт АПС, восстановительные работы по автоматизированной противопожарной системе (контроль за сост. модуля с выводом на пульт 01 ЦУС- г. Севастополя), </t>
    </r>
    <r>
      <rPr>
        <sz val="10"/>
        <color indexed="8"/>
        <rFont val="Times New Roman"/>
        <family val="1"/>
      </rPr>
      <t>измерение сопротивления электропроводки , защитное заземление и т.д.</t>
    </r>
  </si>
  <si>
    <t>на  _______________2023 года</t>
  </si>
  <si>
    <t>Доходы от штрафов, пеней, иных сумм принудительного изъятия, всего;</t>
  </si>
  <si>
    <t>Доходы от штрафных санкций за нарушение законодательства о закупках и нарушение условий контрактов (договоров)</t>
  </si>
  <si>
    <r>
      <t>Код вида расходов</t>
    </r>
    <r>
      <rPr>
        <u val="single"/>
        <sz val="14"/>
        <color indexed="8"/>
        <rFont val="Times New Roman"/>
        <family val="1"/>
      </rPr>
      <t xml:space="preserve"> 243</t>
    </r>
  </si>
  <si>
    <t>Код вида расходов 243   КОСГУ 225</t>
  </si>
  <si>
    <t>Услуги по проведение капитального ремонта здания учреждения</t>
  </si>
  <si>
    <t>в том числе:                                                                                                                                                                                                                               на выплаты персоналу всего:</t>
  </si>
  <si>
    <t>Доходы от выбытия материальных запасов</t>
  </si>
  <si>
    <r>
      <t>Код аналитической группы подвида доходов</t>
    </r>
    <r>
      <rPr>
        <sz val="12"/>
        <rFont val="Times New Roman"/>
        <family val="1"/>
      </rPr>
      <t xml:space="preserve"> 440 КОСГУ 446</t>
    </r>
  </si>
  <si>
    <t>Доходы от выбытия материальных запасов (реализация металлолома)</t>
  </si>
  <si>
    <t>ВСЕГО по коду аналитической группы подвида доходов 440</t>
  </si>
  <si>
    <r>
      <t>Код аналитической группы подвида доходов</t>
    </r>
    <r>
      <rPr>
        <sz val="12"/>
        <rFont val="Times New Roman"/>
        <family val="1"/>
      </rPr>
      <t xml:space="preserve"> 140 КОСГУ 141</t>
    </r>
  </si>
  <si>
    <t>ВСЕГО по коду аналитической группы подвида доходов 140</t>
  </si>
  <si>
    <t>Обоснования (расчеты) плановых показателей выплат</t>
  </si>
  <si>
    <t>Обоснования (расчеты) плановых показателей поступлений</t>
  </si>
  <si>
    <t>Приобретение абсорбирующих средств в т.ч. памперсы</t>
  </si>
  <si>
    <t>Оценка технического состояния активов с целью основания списания, независимая экспертиза товаров, работ, услуг</t>
  </si>
  <si>
    <t>*- в соответствии с приказом ДТСЗН от 15.03.2023 № 104</t>
  </si>
  <si>
    <t>*-в соответствии с приказом ДТСЗН от 15.03.2023 № 104 (514,34+4%=534,91)</t>
  </si>
  <si>
    <t>*- в соответствии с приказом ДТСЗН от 15.03.2023 № 104 (534,91+4%=556,31)</t>
  </si>
  <si>
    <t>Директор</t>
  </si>
  <si>
    <t>Я.Ю. Ганчева</t>
  </si>
  <si>
    <t>Приобретение медицинских функциональных кроватей (50 шт.)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</si>
</sst>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_₽"/>
    <numFmt numFmtId="165" formatCode="0.0"/>
  </numFmts>
  <fonts count="7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10"/>
      <name val="Arial Cyr"/>
      <family val="0"/>
    </font>
    <font>
      <sz val="26"/>
      <color indexed="8"/>
      <name val="Times New Roman"/>
      <family val="1"/>
    </font>
    <font>
      <b/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12"/>
      <name val="Times New Roman"/>
      <family val="1"/>
    </font>
    <font>
      <sz val="22"/>
      <color indexed="8"/>
      <name val="Times New Roman"/>
      <family val="1"/>
    </font>
    <font>
      <b/>
      <i/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name val="Times New Roman"/>
      <family val="1"/>
    </font>
    <font>
      <i/>
      <sz val="22"/>
      <color indexed="8"/>
      <name val="Times New Roman"/>
      <family val="1"/>
    </font>
    <font>
      <b/>
      <sz val="22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color indexed="18"/>
      <name val="Times New Roman"/>
      <family val="1"/>
    </font>
    <font>
      <b/>
      <sz val="12"/>
      <color indexed="8"/>
      <name val="Times New Roman"/>
      <family val="1"/>
    </font>
    <font>
      <sz val="10"/>
      <color indexed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u val="single"/>
      <sz val="10"/>
      <name val="Times New Roman"/>
      <family val="1"/>
    </font>
    <font>
      <sz val="2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5" fillId="32" borderId="0" applyNumberFormat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54" applyFont="1">
      <alignment/>
      <protection/>
    </xf>
    <xf numFmtId="0" fontId="4" fillId="33" borderId="0" xfId="54" applyFont="1" applyFill="1">
      <alignment/>
      <protection/>
    </xf>
    <xf numFmtId="49" fontId="4" fillId="0" borderId="0" xfId="54" applyNumberFormat="1" applyFont="1">
      <alignment/>
      <protection/>
    </xf>
    <xf numFmtId="0" fontId="4" fillId="0" borderId="0" xfId="54" applyFont="1" applyAlignment="1">
      <alignment wrapText="1"/>
      <protection/>
    </xf>
    <xf numFmtId="0" fontId="4" fillId="33" borderId="0" xfId="54" applyFont="1" applyFill="1" applyAlignment="1">
      <alignment wrapText="1"/>
      <protection/>
    </xf>
    <xf numFmtId="0" fontId="5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top" wrapText="1"/>
      <protection/>
    </xf>
    <xf numFmtId="0" fontId="4" fillId="33" borderId="10" xfId="54" applyFont="1" applyFill="1" applyBorder="1" applyAlignment="1">
      <alignment horizontal="center" vertical="top" wrapText="1"/>
      <protection/>
    </xf>
    <xf numFmtId="0" fontId="7" fillId="0" borderId="10" xfId="42" applyNumberFormat="1" applyFont="1" applyFill="1" applyBorder="1" applyAlignment="1" applyProtection="1">
      <alignment horizontal="left" vertical="center" wrapText="1"/>
      <protection/>
    </xf>
    <xf numFmtId="49" fontId="8" fillId="0" borderId="10" xfId="54" applyNumberFormat="1" applyFont="1" applyBorder="1" applyAlignment="1">
      <alignment horizontal="center" vertical="top" wrapText="1"/>
      <protection/>
    </xf>
    <xf numFmtId="4" fontId="9" fillId="0" borderId="10" xfId="54" applyNumberFormat="1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0" fontId="10" fillId="0" borderId="0" xfId="54" applyFont="1">
      <alignment/>
      <protection/>
    </xf>
    <xf numFmtId="49" fontId="10" fillId="0" borderId="0" xfId="54" applyNumberFormat="1" applyFont="1">
      <alignment/>
      <protection/>
    </xf>
    <xf numFmtId="0" fontId="8" fillId="0" borderId="11" xfId="54" applyFont="1" applyBorder="1" applyAlignment="1">
      <alignment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8" fillId="0" borderId="0" xfId="54" applyFont="1">
      <alignment/>
      <protection/>
    </xf>
    <xf numFmtId="49" fontId="8" fillId="0" borderId="0" xfId="54" applyNumberFormat="1" applyFont="1">
      <alignment/>
      <protection/>
    </xf>
    <xf numFmtId="0" fontId="8" fillId="0" borderId="10" xfId="54" applyFont="1" applyBorder="1" applyAlignment="1">
      <alignment vertical="center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4" fontId="8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/>
      <protection/>
    </xf>
    <xf numFmtId="0" fontId="11" fillId="0" borderId="0" xfId="54" applyFont="1" applyBorder="1" applyAlignment="1">
      <alignment horizontal="left" vertical="center"/>
      <protection/>
    </xf>
    <xf numFmtId="0" fontId="8" fillId="0" borderId="12" xfId="54" applyFont="1" applyBorder="1" applyAlignment="1">
      <alignment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4" fontId="10" fillId="0" borderId="10" xfId="54" applyNumberFormat="1" applyFont="1" applyBorder="1" applyAlignment="1">
      <alignment horizontal="center" vertical="center" wrapText="1"/>
      <protection/>
    </xf>
    <xf numFmtId="0" fontId="8" fillId="0" borderId="13" xfId="54" applyFont="1" applyBorder="1" applyAlignment="1">
      <alignment vertical="center" wrapText="1"/>
      <protection/>
    </xf>
    <xf numFmtId="0" fontId="8" fillId="0" borderId="0" xfId="54" applyFont="1" applyBorder="1">
      <alignment/>
      <protection/>
    </xf>
    <xf numFmtId="0" fontId="8" fillId="0" borderId="0" xfId="54" applyFont="1" applyAlignment="1">
      <alignment horizontal="center"/>
      <protection/>
    </xf>
    <xf numFmtId="49" fontId="8" fillId="34" borderId="0" xfId="54" applyNumberFormat="1" applyFont="1" applyFill="1" applyBorder="1" applyAlignment="1">
      <alignment vertical="center" wrapText="1"/>
      <protection/>
    </xf>
    <xf numFmtId="0" fontId="8" fillId="34" borderId="0" xfId="54" applyFont="1" applyFill="1" applyBorder="1" applyAlignment="1">
      <alignment horizontal="center" vertical="center" wrapText="1"/>
      <protection/>
    </xf>
    <xf numFmtId="0" fontId="9" fillId="34" borderId="0" xfId="54" applyFont="1" applyFill="1" applyBorder="1" applyAlignment="1">
      <alignment horizontal="center" vertical="center" wrapText="1"/>
      <protection/>
    </xf>
    <xf numFmtId="0" fontId="8" fillId="34" borderId="0" xfId="54" applyFont="1" applyFill="1" applyBorder="1">
      <alignment/>
      <protection/>
    </xf>
    <xf numFmtId="49" fontId="8" fillId="34" borderId="0" xfId="54" applyNumberFormat="1" applyFont="1" applyFill="1" applyBorder="1">
      <alignment/>
      <protection/>
    </xf>
    <xf numFmtId="49" fontId="8" fillId="0" borderId="10" xfId="54" applyNumberFormat="1" applyFont="1" applyFill="1" applyBorder="1" applyAlignment="1">
      <alignment vertical="center" wrapText="1"/>
      <protection/>
    </xf>
    <xf numFmtId="0" fontId="8" fillId="33" borderId="14" xfId="54" applyFont="1" applyFill="1" applyBorder="1" applyAlignment="1">
      <alignment horizontal="center" vertical="center" wrapText="1"/>
      <protection/>
    </xf>
    <xf numFmtId="4" fontId="9" fillId="0" borderId="14" xfId="54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Fill="1" applyBorder="1" applyAlignment="1">
      <alignment horizontal="center" vertical="center" wrapText="1"/>
      <protection/>
    </xf>
    <xf numFmtId="4" fontId="9" fillId="0" borderId="10" xfId="54" applyNumberFormat="1" applyFont="1" applyFill="1" applyBorder="1" applyAlignment="1">
      <alignment horizontal="center" vertical="center" wrapText="1"/>
      <protection/>
    </xf>
    <xf numFmtId="0" fontId="8" fillId="0" borderId="0" xfId="54" applyFont="1" applyFill="1">
      <alignment/>
      <protection/>
    </xf>
    <xf numFmtId="49" fontId="8" fillId="0" borderId="0" xfId="54" applyNumberFormat="1" applyFont="1" applyFill="1">
      <alignment/>
      <protection/>
    </xf>
    <xf numFmtId="0" fontId="8" fillId="34" borderId="0" xfId="54" applyFont="1" applyFill="1" applyBorder="1" applyAlignment="1">
      <alignment vertical="center" wrapText="1"/>
      <protection/>
    </xf>
    <xf numFmtId="0" fontId="8" fillId="0" borderId="0" xfId="54" applyFont="1" applyFill="1" applyBorder="1">
      <alignment/>
      <protection/>
    </xf>
    <xf numFmtId="0" fontId="8" fillId="0" borderId="10" xfId="54" applyFont="1" applyFill="1" applyBorder="1" applyAlignment="1">
      <alignment vertical="center" wrapText="1"/>
      <protection/>
    </xf>
    <xf numFmtId="49" fontId="8" fillId="0" borderId="10" xfId="54" applyNumberFormat="1" applyFont="1" applyBorder="1" applyAlignment="1">
      <alignment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4" fontId="12" fillId="0" borderId="14" xfId="54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8" fillId="0" borderId="14" xfId="54" applyFont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vertical="center" wrapText="1"/>
      <protection/>
    </xf>
    <xf numFmtId="4" fontId="10" fillId="0" borderId="1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>
      <alignment/>
      <protection/>
    </xf>
    <xf numFmtId="49" fontId="10" fillId="0" borderId="0" xfId="54" applyNumberFormat="1" applyFont="1" applyFill="1">
      <alignment/>
      <protection/>
    </xf>
    <xf numFmtId="0" fontId="11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0" borderId="0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0" xfId="54" applyFont="1" applyBorder="1" applyAlignment="1">
      <alignment vertical="center" wrapText="1"/>
      <protection/>
    </xf>
    <xf numFmtId="0" fontId="10" fillId="33" borderId="0" xfId="54" applyFont="1" applyFill="1" applyBorder="1" applyAlignment="1">
      <alignment horizontal="center" vertical="center" wrapText="1"/>
      <protection/>
    </xf>
    <xf numFmtId="4" fontId="9" fillId="0" borderId="0" xfId="54" applyNumberFormat="1" applyFont="1" applyBorder="1" applyAlignment="1">
      <alignment horizontal="center" vertical="center" wrapText="1"/>
      <protection/>
    </xf>
    <xf numFmtId="0" fontId="4" fillId="0" borderId="15" xfId="54" applyFont="1" applyBorder="1" applyAlignment="1">
      <alignment horizontal="left"/>
      <protection/>
    </xf>
    <xf numFmtId="0" fontId="4" fillId="0" borderId="0" xfId="54" applyFont="1" applyBorder="1">
      <alignment/>
      <protection/>
    </xf>
    <xf numFmtId="0" fontId="4" fillId="33" borderId="0" xfId="54" applyFont="1" applyFill="1" applyBorder="1">
      <alignment/>
      <protection/>
    </xf>
    <xf numFmtId="0" fontId="4" fillId="0" borderId="15" xfId="54" applyFont="1" applyBorder="1">
      <alignment/>
      <protection/>
    </xf>
    <xf numFmtId="0" fontId="4" fillId="0" borderId="0" xfId="54" applyFont="1" applyAlignment="1">
      <alignment horizontal="left"/>
      <protection/>
    </xf>
    <xf numFmtId="0" fontId="4" fillId="33" borderId="0" xfId="54" applyFont="1" applyFill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10" fillId="0" borderId="11" xfId="54" applyFont="1" applyBorder="1" applyAlignment="1">
      <alignment vertical="center" wrapText="1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2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5" fillId="0" borderId="10" xfId="0" applyFont="1" applyBorder="1" applyAlignment="1">
      <alignment horizontal="left" vertical="center" wrapText="1" indent="1"/>
    </xf>
    <xf numFmtId="4" fontId="25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4" fontId="15" fillId="0" borderId="10" xfId="0" applyNumberFormat="1" applyFont="1" applyBorder="1" applyAlignment="1">
      <alignment vertical="center" wrapText="1"/>
    </xf>
    <xf numFmtId="0" fontId="22" fillId="0" borderId="10" xfId="0" applyFont="1" applyBorder="1" applyAlignment="1">
      <alignment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/>
    </xf>
    <xf numFmtId="164" fontId="15" fillId="0" borderId="10" xfId="0" applyNumberFormat="1" applyFont="1" applyBorder="1" applyAlignment="1">
      <alignment/>
    </xf>
    <xf numFmtId="4" fontId="22" fillId="0" borderId="10" xfId="0" applyNumberFormat="1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4" fontId="18" fillId="0" borderId="18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/>
    </xf>
    <xf numFmtId="0" fontId="27" fillId="33" borderId="10" xfId="55" applyFont="1" applyFill="1" applyBorder="1" applyAlignment="1">
      <alignment horizontal="left" vertical="center" wrapText="1"/>
      <protection/>
    </xf>
    <xf numFmtId="0" fontId="16" fillId="33" borderId="10" xfId="55" applyFont="1" applyFill="1" applyBorder="1" applyAlignment="1">
      <alignment horizontal="left" vertical="center" wrapText="1"/>
      <protection/>
    </xf>
    <xf numFmtId="4" fontId="0" fillId="0" borderId="10" xfId="0" applyNumberForma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wrapText="1"/>
    </xf>
    <xf numFmtId="49" fontId="16" fillId="33" borderId="10" xfId="55" applyNumberFormat="1" applyFont="1" applyFill="1" applyBorder="1" applyAlignment="1">
      <alignment horizontal="left" vertical="center" wrapText="1"/>
      <protection/>
    </xf>
    <xf numFmtId="4" fontId="2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wrapText="1"/>
    </xf>
    <xf numFmtId="0" fontId="16" fillId="0" borderId="2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5" fillId="0" borderId="0" xfId="0" applyFont="1" applyAlignment="1">
      <alignment horizontal="justify" vertical="center"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16" fillId="0" borderId="14" xfId="0" applyFont="1" applyFill="1" applyBorder="1" applyAlignment="1">
      <alignment wrapText="1"/>
    </xf>
    <xf numFmtId="165" fontId="15" fillId="0" borderId="19" xfId="0" applyNumberFormat="1" applyFont="1" applyBorder="1" applyAlignment="1">
      <alignment horizontal="center" vertical="center" wrapText="1"/>
    </xf>
    <xf numFmtId="165" fontId="15" fillId="0" borderId="2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165" fontId="15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4" fontId="15" fillId="0" borderId="14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4" fontId="16" fillId="33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4" fillId="0" borderId="0" xfId="0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22" xfId="0" applyFont="1" applyBorder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Alignment="1">
      <alignment horizontal="right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8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justify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39" fillId="35" borderId="10" xfId="42" applyNumberFormat="1" applyFont="1" applyFill="1" applyBorder="1" applyAlignment="1" applyProtection="1">
      <alignment vertical="center" wrapText="1"/>
      <protection/>
    </xf>
    <xf numFmtId="4" fontId="16" fillId="35" borderId="10" xfId="0" applyNumberFormat="1" applyFont="1" applyFill="1" applyBorder="1" applyAlignment="1">
      <alignment horizontal="center" vertical="center" wrapText="1"/>
    </xf>
    <xf numFmtId="49" fontId="16" fillId="36" borderId="10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vertical="top" wrapText="1"/>
    </xf>
    <xf numFmtId="0" fontId="16" fillId="36" borderId="12" xfId="0" applyFont="1" applyFill="1" applyBorder="1" applyAlignment="1">
      <alignment horizontal="center" vertical="center" wrapText="1"/>
    </xf>
    <xf numFmtId="4" fontId="16" fillId="36" borderId="12" xfId="0" applyNumberFormat="1" applyFont="1" applyFill="1" applyBorder="1" applyAlignment="1">
      <alignment horizontal="center" vertical="center" wrapText="1"/>
    </xf>
    <xf numFmtId="0" fontId="16" fillId="36" borderId="10" xfId="0" applyFont="1" applyFill="1" applyBorder="1" applyAlignment="1">
      <alignment horizontal="center" vertical="center" wrapText="1"/>
    </xf>
    <xf numFmtId="4" fontId="16" fillId="36" borderId="10" xfId="0" applyNumberFormat="1" applyFont="1" applyFill="1" applyBorder="1" applyAlignment="1">
      <alignment horizontal="center" vertical="center" wrapText="1"/>
    </xf>
    <xf numFmtId="49" fontId="16" fillId="37" borderId="12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vertical="top" wrapText="1"/>
    </xf>
    <xf numFmtId="0" fontId="16" fillId="37" borderId="12" xfId="0" applyFont="1" applyFill="1" applyBorder="1" applyAlignment="1">
      <alignment horizontal="center" vertical="center" wrapText="1"/>
    </xf>
    <xf numFmtId="4" fontId="16" fillId="37" borderId="12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39" fillId="0" borderId="10" xfId="42" applyNumberFormat="1" applyFont="1" applyFill="1" applyBorder="1" applyAlignment="1" applyProtection="1">
      <alignment horizontal="left" vertical="top" wrapText="1"/>
      <protection/>
    </xf>
    <xf numFmtId="4" fontId="16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10" xfId="0" applyFont="1" applyBorder="1" applyAlignment="1">
      <alignment vertical="top" wrapText="1"/>
    </xf>
    <xf numFmtId="4" fontId="16" fillId="0" borderId="10" xfId="0" applyNumberFormat="1" applyFont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39" fillId="37" borderId="10" xfId="42" applyNumberFormat="1" applyFont="1" applyFill="1" applyBorder="1" applyAlignment="1" applyProtection="1">
      <alignment vertical="top" wrapText="1"/>
      <protection/>
    </xf>
    <xf numFmtId="4" fontId="16" fillId="37" borderId="10" xfId="0" applyNumberFormat="1" applyFont="1" applyFill="1" applyBorder="1" applyAlignment="1">
      <alignment horizontal="center" vertical="center" wrapText="1"/>
    </xf>
    <xf numFmtId="0" fontId="39" fillId="0" borderId="10" xfId="42" applyNumberFormat="1" applyFont="1" applyFill="1" applyBorder="1" applyAlignment="1" applyProtection="1">
      <alignment vertical="top" wrapText="1"/>
      <protection/>
    </xf>
    <xf numFmtId="0" fontId="39" fillId="0" borderId="10" xfId="42" applyNumberFormat="1" applyFont="1" applyFill="1" applyBorder="1" applyAlignment="1" applyProtection="1">
      <alignment vertical="center" wrapText="1"/>
      <protection/>
    </xf>
    <xf numFmtId="0" fontId="16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top" wrapText="1"/>
    </xf>
    <xf numFmtId="0" fontId="39" fillId="36" borderId="10" xfId="42" applyNumberFormat="1" applyFont="1" applyFill="1" applyBorder="1" applyAlignment="1" applyProtection="1">
      <alignment vertical="top" wrapText="1"/>
      <protection/>
    </xf>
    <xf numFmtId="0" fontId="16" fillId="0" borderId="10" xfId="42" applyNumberFormat="1" applyFont="1" applyFill="1" applyBorder="1" applyAlignment="1" applyProtection="1">
      <alignment vertical="top" wrapText="1"/>
      <protection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27" fillId="0" borderId="0" xfId="0" applyFont="1" applyAlignment="1">
      <alignment/>
    </xf>
    <xf numFmtId="0" fontId="15" fillId="0" borderId="0" xfId="0" applyFont="1" applyBorder="1" applyAlignment="1">
      <alignment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6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42" applyNumberFormat="1" applyFont="1" applyFill="1" applyBorder="1" applyAlignment="1" applyProtection="1">
      <alignment horizontal="left" vertical="center" wrapText="1"/>
      <protection/>
    </xf>
    <xf numFmtId="0" fontId="13" fillId="0" borderId="10" xfId="54" applyFont="1" applyBorder="1" applyAlignment="1">
      <alignment vertical="center" wrapText="1"/>
      <protection/>
    </xf>
    <xf numFmtId="0" fontId="8" fillId="33" borderId="10" xfId="54" applyFont="1" applyFill="1" applyBorder="1" applyAlignment="1">
      <alignment vertical="center" wrapText="1"/>
      <protection/>
    </xf>
    <xf numFmtId="4" fontId="9" fillId="0" borderId="10" xfId="54" applyNumberFormat="1" applyFont="1" applyBorder="1" applyAlignment="1">
      <alignment vertical="center" wrapText="1"/>
      <protection/>
    </xf>
    <xf numFmtId="0" fontId="9" fillId="0" borderId="10" xfId="54" applyFont="1" applyBorder="1" applyAlignment="1">
      <alignment vertical="center" wrapText="1"/>
      <protection/>
    </xf>
    <xf numFmtId="0" fontId="10" fillId="38" borderId="10" xfId="54" applyFont="1" applyFill="1" applyBorder="1" applyAlignment="1">
      <alignment horizontal="center" vertical="center" wrapText="1"/>
      <protection/>
    </xf>
    <xf numFmtId="0" fontId="10" fillId="0" borderId="12" xfId="54" applyFont="1" applyBorder="1" applyAlignment="1">
      <alignment/>
      <protection/>
    </xf>
    <xf numFmtId="0" fontId="41" fillId="0" borderId="10" xfId="54" applyFont="1" applyBorder="1" applyAlignment="1">
      <alignment vertical="center" wrapText="1"/>
      <protection/>
    </xf>
    <xf numFmtId="0" fontId="8" fillId="38" borderId="10" xfId="54" applyFont="1" applyFill="1" applyBorder="1" applyAlignment="1">
      <alignment horizontal="center" vertical="center" wrapText="1"/>
      <protection/>
    </xf>
    <xf numFmtId="0" fontId="26" fillId="0" borderId="23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4" fontId="76" fillId="0" borderId="23" xfId="0" applyNumberFormat="1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4" fontId="25" fillId="0" borderId="23" xfId="0" applyNumberFormat="1" applyFont="1" applyBorder="1" applyAlignment="1">
      <alignment horizontal="center" vertical="center" wrapText="1"/>
    </xf>
    <xf numFmtId="4" fontId="77" fillId="0" borderId="23" xfId="0" applyNumberFormat="1" applyFont="1" applyBorder="1" applyAlignment="1">
      <alignment horizontal="center" vertical="center"/>
    </xf>
    <xf numFmtId="0" fontId="10" fillId="33" borderId="10" xfId="54" applyFont="1" applyFill="1" applyBorder="1" applyAlignment="1">
      <alignment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4" fillId="0" borderId="15" xfId="54" applyFont="1" applyBorder="1" applyAlignment="1">
      <alignment horizontal="center"/>
      <protection/>
    </xf>
    <xf numFmtId="4" fontId="12" fillId="0" borderId="10" xfId="54" applyNumberFormat="1" applyFont="1" applyBorder="1" applyAlignment="1">
      <alignment horizontal="center" vertical="center" wrapText="1"/>
      <protection/>
    </xf>
    <xf numFmtId="0" fontId="8" fillId="0" borderId="10" xfId="54" applyFont="1" applyBorder="1" applyAlignment="1">
      <alignment horizontal="center" vertical="center" wrapText="1"/>
      <protection/>
    </xf>
    <xf numFmtId="0" fontId="8" fillId="33" borderId="10" xfId="54" applyFont="1" applyFill="1" applyBorder="1" applyAlignment="1">
      <alignment horizontal="center" vertical="center" wrapText="1"/>
      <protection/>
    </xf>
    <xf numFmtId="4" fontId="9" fillId="0" borderId="10" xfId="54" applyNumberFormat="1" applyFont="1" applyBorder="1" applyAlignment="1">
      <alignment horizontal="center" vertical="center" wrapText="1"/>
      <protection/>
    </xf>
    <xf numFmtId="4" fontId="12" fillId="0" borderId="10" xfId="54" applyNumberFormat="1" applyFont="1" applyBorder="1" applyAlignment="1">
      <alignment horizontal="center" wrapText="1"/>
      <protection/>
    </xf>
    <xf numFmtId="4" fontId="9" fillId="0" borderId="10" xfId="54" applyNumberFormat="1" applyFont="1" applyBorder="1" applyAlignment="1">
      <alignment horizont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33" borderId="10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left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5" fillId="0" borderId="0" xfId="54" applyFont="1" applyBorder="1" applyAlignment="1">
      <alignment horizontal="center" vertic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4" fontId="10" fillId="0" borderId="10" xfId="54" applyNumberFormat="1" applyFont="1" applyBorder="1" applyAlignment="1">
      <alignment horizontal="center" wrapText="1"/>
      <protection/>
    </xf>
    <xf numFmtId="0" fontId="10" fillId="0" borderId="10" xfId="54" applyFont="1" applyBorder="1" applyAlignment="1">
      <alignment horizontal="center" wrapText="1"/>
      <protection/>
    </xf>
    <xf numFmtId="0" fontId="9" fillId="0" borderId="10" xfId="54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0" fontId="14" fillId="0" borderId="15" xfId="0" applyFont="1" applyBorder="1" applyAlignment="1">
      <alignment horizontal="left" vertical="center"/>
    </xf>
    <xf numFmtId="4" fontId="14" fillId="0" borderId="15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center"/>
    </xf>
    <xf numFmtId="0" fontId="36" fillId="0" borderId="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left"/>
    </xf>
    <xf numFmtId="4" fontId="14" fillId="0" borderId="24" xfId="0" applyNumberFormat="1" applyFont="1" applyBorder="1" applyAlignment="1">
      <alignment horizontal="center"/>
    </xf>
    <xf numFmtId="0" fontId="14" fillId="0" borderId="15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33" borderId="10" xfId="55" applyFont="1" applyFill="1" applyBorder="1" applyAlignment="1">
      <alignment horizontal="left" vertical="center" wrapText="1"/>
      <protection/>
    </xf>
    <xf numFmtId="49" fontId="16" fillId="33" borderId="10" xfId="55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16" fillId="0" borderId="10" xfId="55" applyFont="1" applyFill="1" applyBorder="1" applyAlignment="1">
      <alignment horizontal="left" vertical="center" wrapText="1"/>
      <protection/>
    </xf>
    <xf numFmtId="0" fontId="15" fillId="0" borderId="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wrapText="1"/>
    </xf>
    <xf numFmtId="0" fontId="22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wrapText="1"/>
    </xf>
    <xf numFmtId="0" fontId="22" fillId="0" borderId="14" xfId="0" applyFont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/>
    </xf>
    <xf numFmtId="4" fontId="14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4" fillId="0" borderId="15" xfId="0" applyFont="1" applyBorder="1" applyAlignment="1">
      <alignment horizontal="center"/>
    </xf>
    <xf numFmtId="0" fontId="3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top"/>
    </xf>
    <xf numFmtId="0" fontId="18" fillId="0" borderId="22" xfId="0" applyFont="1" applyBorder="1" applyAlignment="1">
      <alignment horizontal="center" wrapText="1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left" vertical="center"/>
    </xf>
    <xf numFmtId="0" fontId="15" fillId="0" borderId="15" xfId="0" applyFont="1" applyBorder="1" applyAlignment="1">
      <alignment horizontal="left"/>
    </xf>
    <xf numFmtId="4" fontId="15" fillId="0" borderId="15" xfId="0" applyNumberFormat="1" applyFont="1" applyBorder="1" applyAlignment="1">
      <alignment horizontal="left"/>
    </xf>
    <xf numFmtId="0" fontId="15" fillId="0" borderId="0" xfId="54" applyFont="1" applyBorder="1" applyAlignment="1">
      <alignment horizontal="center" vertical="center"/>
      <protection/>
    </xf>
    <xf numFmtId="0" fontId="38" fillId="0" borderId="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25" fillId="0" borderId="23" xfId="0" applyFont="1" applyBorder="1" applyAlignment="1">
      <alignment horizontal="left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смета РЦ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EB744DDCD48885A9E6B91130DA0E47BEFDEB3DE160E7D63D1184AA22ACA47444660E21DC85F605BE51E6AE26230fBO" TargetMode="External" /><Relationship Id="rId2" Type="http://schemas.openxmlformats.org/officeDocument/2006/relationships/hyperlink" Target="consultantplus://offline/ref=EEB744DDCD48885A9E6B91130DA0E47BEFDFB7D910057D63D1184AA22ACA47445460BA13CB537851B1512CB76E0057BFBEDDE9719A3835f4O" TargetMode="External" /><Relationship Id="rId3" Type="http://schemas.openxmlformats.org/officeDocument/2006/relationships/hyperlink" Target="consultantplus://offline/ref=EEB744DDCD48885A9E6B91130DA0E47BEFDEB3DE160E7D63D1184AA22ACA47444660E21DC85F605BE51E6AE26230fBO" TargetMode="External" /><Relationship Id="rId4" Type="http://schemas.openxmlformats.org/officeDocument/2006/relationships/hyperlink" Target="consultantplus://offline/ref=EEB744DDCD48885A9E6B91130DA0E47BEFDEB3DE160E7D63D1184AA22ACA47444660E21DC85F605BE51E6AE26230fBO" TargetMode="External" /><Relationship Id="rId5" Type="http://schemas.openxmlformats.org/officeDocument/2006/relationships/hyperlink" Target="consultantplus://offline/ref=EEB744DDCD48885A9E6B91130DA0E47BEFDEB3DE160E7D63D1184AA22ACA47444660E21DC85F605BE51E6AE26230fBO" TargetMode="External" /><Relationship Id="rId6" Type="http://schemas.openxmlformats.org/officeDocument/2006/relationships/hyperlink" Target="consultantplus://offline/ref=EEB744DDCD48885A9E6B91130DA0E47BEFDEB3DD11047D63D1184AA22ACA47444660E21DC85F605BE51E6AE26230fBO" TargetMode="External" /><Relationship Id="rId7" Type="http://schemas.openxmlformats.org/officeDocument/2006/relationships/hyperlink" Target="consultantplus://offline/ref=EEB744DDCD48885A9E6B91130DA0E47BEFDEB3DD11047D63D1184AA22ACA47444660E21DC85F605BE51E6AE26230fBO" TargetMode="External" /><Relationship Id="rId8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5536"/>
  <sheetViews>
    <sheetView tabSelected="1" zoomScale="46" zoomScaleNormal="46" zoomScaleSheetLayoutView="51" zoomScalePageLayoutView="0" workbookViewId="0" topLeftCell="A1">
      <selection activeCell="L16" sqref="L16"/>
    </sheetView>
  </sheetViews>
  <sheetFormatPr defaultColWidth="9.00390625" defaultRowHeight="24" customHeight="1"/>
  <cols>
    <col min="1" max="1" width="227.421875" style="1" customWidth="1"/>
    <col min="2" max="2" width="22.140625" style="1" customWidth="1"/>
    <col min="3" max="3" width="32.421875" style="2" customWidth="1"/>
    <col min="4" max="4" width="17.8515625" style="2" customWidth="1"/>
    <col min="5" max="5" width="34.57421875" style="1" customWidth="1"/>
    <col min="6" max="6" width="31.28125" style="1" customWidth="1"/>
    <col min="7" max="7" width="34.8515625" style="1" customWidth="1"/>
    <col min="8" max="8" width="22.8515625" style="1" customWidth="1"/>
    <col min="9" max="9" width="28.140625" style="1" customWidth="1"/>
    <col min="10" max="10" width="21.57421875" style="1" customWidth="1"/>
    <col min="11" max="11" width="11.421875" style="1" customWidth="1"/>
    <col min="12" max="12" width="75.421875" style="1" customWidth="1"/>
    <col min="13" max="13" width="23.57421875" style="3" customWidth="1"/>
    <col min="14" max="17" width="9.00390625" style="1" customWidth="1"/>
    <col min="18" max="18" width="18.140625" style="1" customWidth="1"/>
    <col min="19" max="16384" width="9.00390625" style="1" customWidth="1"/>
  </cols>
  <sheetData>
    <row r="1" spans="1:10" ht="30.75" customHeight="1">
      <c r="A1" s="4"/>
      <c r="B1" s="4"/>
      <c r="C1" s="5"/>
      <c r="D1" s="5"/>
      <c r="E1" s="6"/>
      <c r="F1" s="6"/>
      <c r="G1" s="6"/>
      <c r="H1" s="284" t="s">
        <v>0</v>
      </c>
      <c r="I1" s="284"/>
      <c r="J1" s="284"/>
    </row>
    <row r="2" spans="1:10" ht="25.5" customHeight="1">
      <c r="A2" s="4"/>
      <c r="B2" s="4"/>
      <c r="C2" s="5"/>
      <c r="D2" s="5"/>
      <c r="E2" s="6"/>
      <c r="F2" s="6"/>
      <c r="G2" s="6"/>
      <c r="H2" s="6"/>
      <c r="I2" s="6"/>
      <c r="J2" s="7"/>
    </row>
    <row r="3" spans="1:10" ht="29.25" customHeight="1">
      <c r="A3" s="285" t="s">
        <v>1</v>
      </c>
      <c r="B3" s="285"/>
      <c r="C3" s="285"/>
      <c r="D3" s="285"/>
      <c r="E3" s="285"/>
      <c r="F3" s="285"/>
      <c r="G3" s="285"/>
      <c r="H3" s="285"/>
      <c r="I3" s="285"/>
      <c r="J3" s="285"/>
    </row>
    <row r="4" spans="1:10" ht="29.25" customHeight="1">
      <c r="A4" s="285" t="s">
        <v>383</v>
      </c>
      <c r="B4" s="285"/>
      <c r="C4" s="285"/>
      <c r="D4" s="285"/>
      <c r="E4" s="285"/>
      <c r="F4" s="285"/>
      <c r="G4" s="285"/>
      <c r="H4" s="285"/>
      <c r="I4" s="285"/>
      <c r="J4" s="285"/>
    </row>
    <row r="5" ht="24.75" customHeight="1">
      <c r="F5" s="6"/>
    </row>
    <row r="6" spans="1:10" ht="37.5" customHeight="1">
      <c r="A6" s="281" t="s">
        <v>2</v>
      </c>
      <c r="B6" s="281" t="s">
        <v>3</v>
      </c>
      <c r="C6" s="282" t="s">
        <v>4</v>
      </c>
      <c r="D6" s="282" t="s">
        <v>5</v>
      </c>
      <c r="E6" s="281" t="s">
        <v>6</v>
      </c>
      <c r="F6" s="281"/>
      <c r="G6" s="281"/>
      <c r="H6" s="281"/>
      <c r="I6" s="281"/>
      <c r="J6" s="281"/>
    </row>
    <row r="7" spans="1:10" ht="31.5" customHeight="1">
      <c r="A7" s="281"/>
      <c r="B7" s="281"/>
      <c r="C7" s="282"/>
      <c r="D7" s="282"/>
      <c r="E7" s="281" t="s">
        <v>7</v>
      </c>
      <c r="F7" s="281" t="s">
        <v>8</v>
      </c>
      <c r="G7" s="281"/>
      <c r="H7" s="281"/>
      <c r="I7" s="281"/>
      <c r="J7" s="281"/>
    </row>
    <row r="8" spans="1:10" ht="102.75" customHeight="1">
      <c r="A8" s="281"/>
      <c r="B8" s="281"/>
      <c r="C8" s="282"/>
      <c r="D8" s="282"/>
      <c r="E8" s="281"/>
      <c r="F8" s="281" t="s">
        <v>9</v>
      </c>
      <c r="G8" s="281" t="s">
        <v>10</v>
      </c>
      <c r="H8" s="281" t="s">
        <v>11</v>
      </c>
      <c r="I8" s="281" t="s">
        <v>12</v>
      </c>
      <c r="J8" s="281"/>
    </row>
    <row r="9" spans="1:10" ht="249.75" customHeight="1">
      <c r="A9" s="281"/>
      <c r="B9" s="281"/>
      <c r="C9" s="282"/>
      <c r="D9" s="282"/>
      <c r="E9" s="281"/>
      <c r="F9" s="281"/>
      <c r="G9" s="281"/>
      <c r="H9" s="281"/>
      <c r="I9" s="8" t="s">
        <v>12</v>
      </c>
      <c r="J9" s="8" t="s">
        <v>13</v>
      </c>
    </row>
    <row r="10" spans="1:10" ht="30.75" customHeight="1">
      <c r="A10" s="9">
        <v>1</v>
      </c>
      <c r="B10" s="9">
        <v>2</v>
      </c>
      <c r="C10" s="10">
        <v>3</v>
      </c>
      <c r="D10" s="10"/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</row>
    <row r="11" spans="1:10" ht="30.75" customHeight="1">
      <c r="A11" s="255" t="s">
        <v>14</v>
      </c>
      <c r="B11" s="12" t="s">
        <v>15</v>
      </c>
      <c r="C11" s="10" t="s">
        <v>16</v>
      </c>
      <c r="D11" s="10" t="s">
        <v>16</v>
      </c>
      <c r="E11" s="13">
        <f>F11+G11+I11</f>
        <v>25699441.69</v>
      </c>
      <c r="F11" s="13">
        <v>7298169.39</v>
      </c>
      <c r="G11" s="13">
        <f>7395669.72+7064088.4</f>
        <v>14459758.120000001</v>
      </c>
      <c r="H11" s="13"/>
      <c r="I11" s="13">
        <v>3941514.18</v>
      </c>
      <c r="J11" s="9"/>
    </row>
    <row r="12" spans="1:10" ht="30.75" customHeight="1">
      <c r="A12" s="255" t="s">
        <v>17</v>
      </c>
      <c r="B12" s="12" t="s">
        <v>18</v>
      </c>
      <c r="C12" s="10" t="s">
        <v>16</v>
      </c>
      <c r="D12" s="10" t="s">
        <v>16</v>
      </c>
      <c r="E12" s="13">
        <f>F12+G12+I12</f>
        <v>0</v>
      </c>
      <c r="F12" s="13">
        <v>0</v>
      </c>
      <c r="G12" s="13">
        <v>0</v>
      </c>
      <c r="H12" s="13"/>
      <c r="I12" s="13">
        <v>0</v>
      </c>
      <c r="J12" s="9"/>
    </row>
    <row r="13" spans="1:13" s="17" customFormat="1" ht="38.25" customHeight="1">
      <c r="A13" s="256" t="s">
        <v>19</v>
      </c>
      <c r="B13" s="15">
        <v>1000</v>
      </c>
      <c r="C13" s="16" t="s">
        <v>20</v>
      </c>
      <c r="D13" s="16"/>
      <c r="E13" s="13">
        <f>F13+G13+I13</f>
        <v>212332264.51</v>
      </c>
      <c r="F13" s="13">
        <f>F15</f>
        <v>141669800</v>
      </c>
      <c r="G13" s="13">
        <f>G20</f>
        <v>36648250</v>
      </c>
      <c r="H13" s="13"/>
      <c r="I13" s="13">
        <f>I15+I18+I26</f>
        <v>34014214.51</v>
      </c>
      <c r="J13" s="13"/>
      <c r="M13" s="18"/>
    </row>
    <row r="14" spans="1:13" s="23" customFormat="1" ht="27.75" customHeight="1">
      <c r="A14" s="19" t="s">
        <v>8</v>
      </c>
      <c r="B14" s="25">
        <v>1100</v>
      </c>
      <c r="C14" s="257"/>
      <c r="D14" s="257"/>
      <c r="E14" s="258"/>
      <c r="F14" s="25" t="s">
        <v>20</v>
      </c>
      <c r="G14" s="25" t="s">
        <v>20</v>
      </c>
      <c r="H14" s="25" t="s">
        <v>20</v>
      </c>
      <c r="I14" s="259"/>
      <c r="J14" s="25" t="s">
        <v>20</v>
      </c>
      <c r="M14" s="24"/>
    </row>
    <row r="15" spans="1:13" s="23" customFormat="1" ht="32.25" customHeight="1">
      <c r="A15" s="14" t="s">
        <v>22</v>
      </c>
      <c r="B15" s="15">
        <v>1200</v>
      </c>
      <c r="C15" s="16">
        <v>130</v>
      </c>
      <c r="D15" s="16" t="s">
        <v>16</v>
      </c>
      <c r="E15" s="13">
        <f>F15+I15</f>
        <v>175669800</v>
      </c>
      <c r="F15" s="13">
        <f>F17</f>
        <v>141669800</v>
      </c>
      <c r="G15" s="15" t="s">
        <v>20</v>
      </c>
      <c r="H15" s="15" t="s">
        <v>20</v>
      </c>
      <c r="I15" s="13">
        <f>I16</f>
        <v>34000000</v>
      </c>
      <c r="J15" s="13"/>
      <c r="M15" s="24"/>
    </row>
    <row r="16" spans="1:13" s="17" customFormat="1" ht="27.75" customHeight="1">
      <c r="A16" s="25" t="s">
        <v>375</v>
      </c>
      <c r="B16" s="26">
        <v>1210</v>
      </c>
      <c r="C16" s="21">
        <v>131</v>
      </c>
      <c r="D16" s="21">
        <v>131</v>
      </c>
      <c r="E16" s="13">
        <f>F16+G16+I16</f>
        <v>34000000</v>
      </c>
      <c r="F16" s="27">
        <v>0</v>
      </c>
      <c r="G16" s="27"/>
      <c r="H16" s="28"/>
      <c r="I16" s="27">
        <f>'2023 Доходы'!E21+'2023 Доходы'!E22</f>
        <v>34000000</v>
      </c>
      <c r="J16" s="13"/>
      <c r="M16" s="18"/>
    </row>
    <row r="17" spans="1:29" s="23" customFormat="1" ht="45.75" customHeight="1">
      <c r="A17" s="25" t="s">
        <v>24</v>
      </c>
      <c r="B17" s="26">
        <v>1220</v>
      </c>
      <c r="C17" s="21">
        <v>131</v>
      </c>
      <c r="D17" s="21">
        <v>131</v>
      </c>
      <c r="E17" s="13">
        <f>F17</f>
        <v>141669800</v>
      </c>
      <c r="F17" s="27">
        <f>'2023 Доходы'!E19+'2023 Доходы'!E20</f>
        <v>141669800</v>
      </c>
      <c r="G17" s="27"/>
      <c r="H17" s="30"/>
      <c r="I17" s="27"/>
      <c r="J17" s="1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</row>
    <row r="18" spans="1:29" s="23" customFormat="1" ht="32.25" customHeight="1">
      <c r="A18" s="14" t="s">
        <v>384</v>
      </c>
      <c r="B18" s="31">
        <v>1300</v>
      </c>
      <c r="C18" s="260">
        <v>140</v>
      </c>
      <c r="D18" s="260" t="s">
        <v>16</v>
      </c>
      <c r="E18" s="13">
        <f>F18+G18+I18</f>
        <v>2316.5099999999998</v>
      </c>
      <c r="F18" s="32"/>
      <c r="G18" s="32"/>
      <c r="H18" s="261"/>
      <c r="I18" s="13">
        <f>I19</f>
        <v>2316.5099999999998</v>
      </c>
      <c r="J18" s="13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s="23" customFormat="1" ht="32.25" customHeight="1">
      <c r="A19" s="262" t="s">
        <v>385</v>
      </c>
      <c r="B19" s="26">
        <v>1310</v>
      </c>
      <c r="C19" s="263">
        <v>140</v>
      </c>
      <c r="D19" s="263">
        <v>141</v>
      </c>
      <c r="E19" s="27">
        <f>F19+G19+I19</f>
        <v>2316.5099999999998</v>
      </c>
      <c r="F19" s="27"/>
      <c r="G19" s="27"/>
      <c r="H19" s="30"/>
      <c r="I19" s="27">
        <f>'2023 Доходы'!E44</f>
        <v>2316.5099999999998</v>
      </c>
      <c r="J19" s="54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13" s="17" customFormat="1" ht="36.75" customHeight="1">
      <c r="A20" s="14" t="s">
        <v>25</v>
      </c>
      <c r="B20" s="31">
        <v>1400</v>
      </c>
      <c r="C20" s="16">
        <v>150</v>
      </c>
      <c r="D20" s="16" t="s">
        <v>16</v>
      </c>
      <c r="E20" s="13">
        <f>SUM(E21)</f>
        <v>36648250</v>
      </c>
      <c r="F20" s="15" t="s">
        <v>20</v>
      </c>
      <c r="G20" s="13">
        <f>G21</f>
        <v>36648250</v>
      </c>
      <c r="H20" s="15"/>
      <c r="I20" s="15" t="s">
        <v>20</v>
      </c>
      <c r="J20" s="15" t="s">
        <v>20</v>
      </c>
      <c r="M20" s="18"/>
    </row>
    <row r="21" spans="1:33" s="23" customFormat="1" ht="37.5" customHeight="1">
      <c r="A21" s="25" t="s">
        <v>26</v>
      </c>
      <c r="B21" s="26">
        <v>1410</v>
      </c>
      <c r="C21" s="21">
        <v>150</v>
      </c>
      <c r="D21" s="21">
        <v>152</v>
      </c>
      <c r="E21" s="27">
        <f>G21</f>
        <v>36648250</v>
      </c>
      <c r="F21" s="20" t="s">
        <v>20</v>
      </c>
      <c r="G21" s="54">
        <f>'2023 Доходы'!E53</f>
        <v>36648250</v>
      </c>
      <c r="H21" s="20"/>
      <c r="I21" s="20" t="s">
        <v>20</v>
      </c>
      <c r="J21" s="20" t="s">
        <v>20</v>
      </c>
      <c r="M21" s="24"/>
      <c r="N21" s="283"/>
      <c r="O21" s="283"/>
      <c r="P21" s="283"/>
      <c r="Q21" s="283"/>
      <c r="R21" s="283"/>
      <c r="S21" s="283"/>
      <c r="T21" s="283"/>
      <c r="U21" s="283"/>
      <c r="V21" s="283"/>
      <c r="W21" s="283"/>
      <c r="X21" s="283"/>
      <c r="Y21" s="283"/>
      <c r="Z21" s="283"/>
      <c r="AA21" s="283"/>
      <c r="AB21" s="283"/>
      <c r="AC21" s="283"/>
      <c r="AD21" s="283"/>
      <c r="AE21" s="283"/>
      <c r="AF21" s="283"/>
      <c r="AG21" s="283"/>
    </row>
    <row r="22" spans="1:33" s="23" customFormat="1" ht="68.25" customHeight="1">
      <c r="A22" s="25" t="s">
        <v>27</v>
      </c>
      <c r="B22" s="26">
        <v>1420</v>
      </c>
      <c r="C22" s="21">
        <v>150</v>
      </c>
      <c r="D22" s="21">
        <v>152</v>
      </c>
      <c r="E22" s="13"/>
      <c r="F22" s="20" t="s">
        <v>20</v>
      </c>
      <c r="G22" s="20"/>
      <c r="H22" s="20"/>
      <c r="I22" s="20"/>
      <c r="J22" s="20"/>
      <c r="M22" s="24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13" s="23" customFormat="1" ht="32.25" customHeight="1">
      <c r="A23" s="25" t="s">
        <v>28</v>
      </c>
      <c r="B23" s="26">
        <v>1430</v>
      </c>
      <c r="C23" s="21">
        <v>160</v>
      </c>
      <c r="D23" s="21" t="s">
        <v>16</v>
      </c>
      <c r="E23" s="13"/>
      <c r="F23" s="20"/>
      <c r="G23" s="20"/>
      <c r="H23" s="20"/>
      <c r="I23" s="20"/>
      <c r="J23" s="20"/>
      <c r="M23" s="24"/>
    </row>
    <row r="24" spans="1:13" s="23" customFormat="1" ht="55.5" customHeight="1">
      <c r="A24" s="25" t="s">
        <v>374</v>
      </c>
      <c r="B24" s="26">
        <v>1440</v>
      </c>
      <c r="C24" s="21">
        <v>160</v>
      </c>
      <c r="D24" s="21">
        <v>161</v>
      </c>
      <c r="E24" s="13"/>
      <c r="F24" s="20"/>
      <c r="G24" s="20"/>
      <c r="H24" s="20"/>
      <c r="I24" s="20"/>
      <c r="J24" s="20"/>
      <c r="M24" s="24"/>
    </row>
    <row r="25" spans="1:13" s="23" customFormat="1" ht="43.5" customHeight="1">
      <c r="A25" s="25" t="s">
        <v>30</v>
      </c>
      <c r="B25" s="26">
        <v>1450</v>
      </c>
      <c r="C25" s="21">
        <v>160</v>
      </c>
      <c r="D25" s="21">
        <v>162</v>
      </c>
      <c r="E25" s="13"/>
      <c r="F25" s="20"/>
      <c r="G25" s="20"/>
      <c r="H25" s="20"/>
      <c r="I25" s="20"/>
      <c r="J25" s="20"/>
      <c r="M25" s="24"/>
    </row>
    <row r="26" spans="1:13" s="17" customFormat="1" ht="30" customHeight="1">
      <c r="A26" s="14" t="s">
        <v>31</v>
      </c>
      <c r="B26" s="31">
        <v>1900</v>
      </c>
      <c r="C26" s="16" t="s">
        <v>16</v>
      </c>
      <c r="D26" s="16" t="s">
        <v>16</v>
      </c>
      <c r="E26" s="13">
        <f>E27</f>
        <v>11898</v>
      </c>
      <c r="F26" s="22"/>
      <c r="G26" s="22"/>
      <c r="H26" s="22"/>
      <c r="I26" s="13">
        <f>I27</f>
        <v>11898</v>
      </c>
      <c r="J26" s="22"/>
      <c r="M26" s="18"/>
    </row>
    <row r="27" spans="1:13" s="17" customFormat="1" ht="30" customHeight="1">
      <c r="A27" s="25" t="s">
        <v>390</v>
      </c>
      <c r="B27" s="26">
        <v>1910</v>
      </c>
      <c r="C27" s="263">
        <v>440</v>
      </c>
      <c r="D27" s="263">
        <v>446</v>
      </c>
      <c r="E27" s="27">
        <f>F27+G27+I27</f>
        <v>11898</v>
      </c>
      <c r="F27" s="20"/>
      <c r="G27" s="20"/>
      <c r="H27" s="20"/>
      <c r="I27" s="27">
        <f>'2023 Доходы'!E35</f>
        <v>11898</v>
      </c>
      <c r="J27" s="20"/>
      <c r="M27" s="18"/>
    </row>
    <row r="28" spans="1:13" s="17" customFormat="1" ht="36" customHeight="1">
      <c r="A28" s="14" t="s">
        <v>32</v>
      </c>
      <c r="B28" s="31">
        <v>1980</v>
      </c>
      <c r="C28" s="16" t="s">
        <v>16</v>
      </c>
      <c r="D28" s="16" t="s">
        <v>16</v>
      </c>
      <c r="E28" s="13"/>
      <c r="F28" s="15"/>
      <c r="G28" s="15"/>
      <c r="H28" s="15"/>
      <c r="I28" s="15"/>
      <c r="J28" s="15"/>
      <c r="M28" s="18"/>
    </row>
    <row r="29" spans="1:13" s="17" customFormat="1" ht="27" customHeight="1">
      <c r="A29" s="14" t="s">
        <v>33</v>
      </c>
      <c r="B29" s="15">
        <v>2000</v>
      </c>
      <c r="C29" s="16" t="s">
        <v>20</v>
      </c>
      <c r="D29" s="16"/>
      <c r="E29" s="32">
        <f>E30+E41+E47-0.01</f>
        <v>238031706.19540253</v>
      </c>
      <c r="F29" s="32">
        <f>F30+F41+F47-0.01</f>
        <v>148967969.38540256</v>
      </c>
      <c r="G29" s="32">
        <f>G30+G41+G47</f>
        <v>51108008.12</v>
      </c>
      <c r="H29" s="32"/>
      <c r="I29" s="32">
        <f>I30+I41+I47</f>
        <v>37955728.69</v>
      </c>
      <c r="J29" s="32"/>
      <c r="M29" s="18"/>
    </row>
    <row r="30" spans="1:13" s="23" customFormat="1" ht="61.5" customHeight="1">
      <c r="A30" s="19" t="s">
        <v>389</v>
      </c>
      <c r="B30" s="15">
        <v>2100</v>
      </c>
      <c r="C30" s="16" t="s">
        <v>34</v>
      </c>
      <c r="D30" s="272"/>
      <c r="E30" s="32">
        <f>F30+G30+I30</f>
        <v>109483300.00140253</v>
      </c>
      <c r="F30" s="32">
        <f>F31+F33+F34+F36+F37+F39</f>
        <v>102061000.00140253</v>
      </c>
      <c r="G30" s="32">
        <f>G31+G33+G34+G36+G37+G39</f>
        <v>0</v>
      </c>
      <c r="H30" s="32"/>
      <c r="I30" s="32">
        <f>I31+I33+I34+I36+I37+I38+I39</f>
        <v>7422300</v>
      </c>
      <c r="J30" s="15"/>
      <c r="M30" s="24"/>
    </row>
    <row r="31" spans="1:30" s="23" customFormat="1" ht="25.5" customHeight="1">
      <c r="A31" s="19" t="s">
        <v>36</v>
      </c>
      <c r="B31" s="276">
        <v>2110</v>
      </c>
      <c r="C31" s="277">
        <v>111</v>
      </c>
      <c r="D31" s="277">
        <v>211</v>
      </c>
      <c r="E31" s="280">
        <f>F31+G31+I31</f>
        <v>83872900.0010772</v>
      </c>
      <c r="F31" s="279">
        <f>'2023 расх'!F31+6200000</f>
        <v>78657900.0010772</v>
      </c>
      <c r="G31" s="279"/>
      <c r="H31" s="279"/>
      <c r="I31" s="279">
        <f>'2023 расх'!G31+1715000</f>
        <v>5215000</v>
      </c>
      <c r="J31" s="280"/>
      <c r="M31" s="2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</row>
    <row r="32" spans="1:30" s="23" customFormat="1" ht="32.25" customHeight="1">
      <c r="A32" s="19" t="s">
        <v>37</v>
      </c>
      <c r="B32" s="276"/>
      <c r="C32" s="277"/>
      <c r="D32" s="277"/>
      <c r="E32" s="280"/>
      <c r="F32" s="279"/>
      <c r="G32" s="279"/>
      <c r="H32" s="279"/>
      <c r="I32" s="279"/>
      <c r="J32" s="280"/>
      <c r="L32" s="35"/>
      <c r="M32" s="24"/>
      <c r="R32" s="36"/>
      <c r="S32" s="37"/>
      <c r="T32" s="37"/>
      <c r="U32" s="38"/>
      <c r="V32" s="38"/>
      <c r="W32" s="38"/>
      <c r="X32" s="38"/>
      <c r="Y32" s="38"/>
      <c r="Z32" s="38"/>
      <c r="AA32" s="39"/>
      <c r="AB32" s="39"/>
      <c r="AC32" s="40"/>
      <c r="AD32" s="34"/>
    </row>
    <row r="33" spans="1:30" s="46" customFormat="1" ht="36.75" customHeight="1">
      <c r="A33" s="41" t="s">
        <v>38</v>
      </c>
      <c r="B33" s="26">
        <v>2120</v>
      </c>
      <c r="C33" s="21">
        <v>111</v>
      </c>
      <c r="D33" s="42">
        <v>266</v>
      </c>
      <c r="E33" s="43">
        <f>F33+G33+I33</f>
        <v>400000</v>
      </c>
      <c r="F33" s="44">
        <f>'2023 расх'!F41</f>
        <v>400000</v>
      </c>
      <c r="G33" s="44"/>
      <c r="H33" s="44"/>
      <c r="I33" s="44"/>
      <c r="J33" s="45"/>
      <c r="M33" s="47"/>
      <c r="R33" s="48"/>
      <c r="S33" s="37"/>
      <c r="T33" s="37"/>
      <c r="U33" s="38"/>
      <c r="V33" s="38"/>
      <c r="W33" s="38"/>
      <c r="X33" s="38"/>
      <c r="Y33" s="38"/>
      <c r="Z33" s="38"/>
      <c r="AA33" s="39"/>
      <c r="AB33" s="39"/>
      <c r="AC33" s="40"/>
      <c r="AD33" s="49"/>
    </row>
    <row r="34" spans="1:30" s="46" customFormat="1" ht="33" customHeight="1">
      <c r="A34" s="50" t="s">
        <v>39</v>
      </c>
      <c r="B34" s="26">
        <v>2130</v>
      </c>
      <c r="C34" s="21">
        <v>112</v>
      </c>
      <c r="D34" s="42">
        <v>212</v>
      </c>
      <c r="E34" s="43">
        <f>F34+G34+I34</f>
        <v>24000</v>
      </c>
      <c r="F34" s="44"/>
      <c r="G34" s="44"/>
      <c r="H34" s="44"/>
      <c r="I34" s="44">
        <f>'2023 расх'!G98</f>
        <v>24000</v>
      </c>
      <c r="J34" s="45"/>
      <c r="M34" s="47"/>
      <c r="R34" s="48"/>
      <c r="S34" s="37"/>
      <c r="T34" s="37"/>
      <c r="U34" s="38"/>
      <c r="V34" s="38"/>
      <c r="W34" s="38"/>
      <c r="X34" s="38"/>
      <c r="Y34" s="38"/>
      <c r="Z34" s="38"/>
      <c r="AA34" s="39"/>
      <c r="AB34" s="39"/>
      <c r="AC34" s="40"/>
      <c r="AD34" s="49"/>
    </row>
    <row r="35" spans="1:30" s="46" customFormat="1" ht="31.5" customHeight="1">
      <c r="A35" s="50" t="s">
        <v>40</v>
      </c>
      <c r="B35" s="26">
        <v>2140</v>
      </c>
      <c r="C35" s="21">
        <v>112</v>
      </c>
      <c r="D35" s="42">
        <v>222</v>
      </c>
      <c r="E35" s="43"/>
      <c r="F35" s="44"/>
      <c r="G35" s="44"/>
      <c r="H35" s="44"/>
      <c r="I35" s="44"/>
      <c r="J35" s="45"/>
      <c r="M35" s="47"/>
      <c r="R35" s="48"/>
      <c r="S35" s="37"/>
      <c r="T35" s="37"/>
      <c r="U35" s="38"/>
      <c r="V35" s="38"/>
      <c r="W35" s="38"/>
      <c r="X35" s="38"/>
      <c r="Y35" s="38"/>
      <c r="Z35" s="38"/>
      <c r="AA35" s="39"/>
      <c r="AB35" s="39"/>
      <c r="AC35" s="40"/>
      <c r="AD35" s="49"/>
    </row>
    <row r="36" spans="1:30" s="46" customFormat="1" ht="36" customHeight="1">
      <c r="A36" s="50" t="s">
        <v>41</v>
      </c>
      <c r="B36" s="26">
        <v>2150</v>
      </c>
      <c r="C36" s="21">
        <v>112</v>
      </c>
      <c r="D36" s="42">
        <v>226</v>
      </c>
      <c r="E36" s="43">
        <f>F36+G36+I36</f>
        <v>376000</v>
      </c>
      <c r="F36" s="44"/>
      <c r="G36" s="44"/>
      <c r="H36" s="44"/>
      <c r="I36" s="44">
        <f>'2023 расх'!G116</f>
        <v>376000</v>
      </c>
      <c r="J36" s="45"/>
      <c r="M36" s="47"/>
      <c r="R36" s="36"/>
      <c r="S36" s="37"/>
      <c r="T36" s="37"/>
      <c r="U36" s="38"/>
      <c r="V36" s="38"/>
      <c r="W36" s="38"/>
      <c r="X36" s="38"/>
      <c r="Y36" s="38"/>
      <c r="Z36" s="38"/>
      <c r="AA36" s="39"/>
      <c r="AB36" s="39"/>
      <c r="AC36" s="40"/>
      <c r="AD36" s="49"/>
    </row>
    <row r="37" spans="1:30" s="46" customFormat="1" ht="36.75" customHeight="1">
      <c r="A37" s="41" t="s">
        <v>38</v>
      </c>
      <c r="B37" s="26">
        <v>2160</v>
      </c>
      <c r="C37" s="21">
        <v>112</v>
      </c>
      <c r="D37" s="42">
        <v>266</v>
      </c>
      <c r="E37" s="43">
        <f>F37+G37+I37</f>
        <v>0</v>
      </c>
      <c r="F37" s="44">
        <f>'2023 расх'!F90</f>
        <v>0</v>
      </c>
      <c r="G37" s="44"/>
      <c r="H37" s="44"/>
      <c r="I37" s="44"/>
      <c r="J37" s="45"/>
      <c r="M37" s="47"/>
      <c r="R37" s="36"/>
      <c r="S37" s="37"/>
      <c r="T37" s="37"/>
      <c r="U37" s="38"/>
      <c r="V37" s="38"/>
      <c r="W37" s="38"/>
      <c r="X37" s="38"/>
      <c r="Y37" s="38"/>
      <c r="Z37" s="38"/>
      <c r="AA37" s="39"/>
      <c r="AB37" s="39"/>
      <c r="AC37" s="40"/>
      <c r="AD37" s="49"/>
    </row>
    <row r="38" spans="1:30" s="46" customFormat="1" ht="36.75" customHeight="1">
      <c r="A38" s="41" t="s">
        <v>42</v>
      </c>
      <c r="B38" s="26">
        <v>2170</v>
      </c>
      <c r="C38" s="21">
        <v>112</v>
      </c>
      <c r="D38" s="42">
        <v>214</v>
      </c>
      <c r="E38" s="43">
        <f>F38+G38+I38</f>
        <v>200000</v>
      </c>
      <c r="F38" s="44"/>
      <c r="G38" s="44"/>
      <c r="H38" s="44"/>
      <c r="I38" s="44">
        <f>'2023 расх'!G106</f>
        <v>200000</v>
      </c>
      <c r="J38" s="45"/>
      <c r="M38" s="47"/>
      <c r="R38" s="36"/>
      <c r="S38" s="37"/>
      <c r="T38" s="37"/>
      <c r="U38" s="38"/>
      <c r="V38" s="38"/>
      <c r="W38" s="38"/>
      <c r="X38" s="38"/>
      <c r="Y38" s="38"/>
      <c r="Z38" s="38"/>
      <c r="AA38" s="39"/>
      <c r="AB38" s="39"/>
      <c r="AC38" s="40"/>
      <c r="AD38" s="49"/>
    </row>
    <row r="39" spans="1:30" s="46" customFormat="1" ht="35.25" customHeight="1">
      <c r="A39" s="41" t="s">
        <v>43</v>
      </c>
      <c r="B39" s="26">
        <v>2180</v>
      </c>
      <c r="C39" s="21">
        <v>119</v>
      </c>
      <c r="D39" s="42">
        <v>213</v>
      </c>
      <c r="E39" s="43">
        <f>F39+G39+I39</f>
        <v>24610400.000325315</v>
      </c>
      <c r="F39" s="44">
        <f>'2023 расх'!F79+1000000</f>
        <v>23003100.000325315</v>
      </c>
      <c r="G39" s="44"/>
      <c r="H39" s="44"/>
      <c r="I39" s="44">
        <f>'2023 расх'!G79+517200</f>
        <v>1607300</v>
      </c>
      <c r="J39" s="45"/>
      <c r="M39" s="47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</row>
    <row r="40" spans="1:30" s="46" customFormat="1" ht="38.25" customHeight="1">
      <c r="A40" s="41" t="s">
        <v>44</v>
      </c>
      <c r="B40" s="31">
        <v>2200</v>
      </c>
      <c r="C40" s="16" t="s">
        <v>34</v>
      </c>
      <c r="D40" s="42"/>
      <c r="E40" s="43"/>
      <c r="F40" s="44"/>
      <c r="G40" s="44"/>
      <c r="H40" s="44"/>
      <c r="I40" s="44"/>
      <c r="J40" s="45"/>
      <c r="M40" s="47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</row>
    <row r="41" spans="1:13" s="17" customFormat="1" ht="34.5" customHeight="1">
      <c r="A41" s="51" t="s">
        <v>45</v>
      </c>
      <c r="B41" s="15">
        <v>2300</v>
      </c>
      <c r="C41" s="16" t="s">
        <v>34</v>
      </c>
      <c r="D41" s="52"/>
      <c r="E41" s="43">
        <f>SUM(E42:E44)</f>
        <v>286300</v>
      </c>
      <c r="F41" s="53">
        <f>SUM(F42:F44)</f>
        <v>6300</v>
      </c>
      <c r="G41" s="53"/>
      <c r="H41" s="53"/>
      <c r="I41" s="43">
        <f>SUM(I42:I44)</f>
        <v>280000</v>
      </c>
      <c r="J41" s="13"/>
      <c r="M41" s="18"/>
    </row>
    <row r="42" spans="1:13" s="23" customFormat="1" ht="42" customHeight="1">
      <c r="A42" s="51" t="s">
        <v>46</v>
      </c>
      <c r="B42" s="20">
        <v>2310</v>
      </c>
      <c r="C42" s="21">
        <v>851</v>
      </c>
      <c r="D42" s="42">
        <v>291</v>
      </c>
      <c r="E42" s="43">
        <f>F42+G42+I42</f>
        <v>0</v>
      </c>
      <c r="F42" s="54"/>
      <c r="G42" s="54"/>
      <c r="H42" s="54"/>
      <c r="I42" s="54"/>
      <c r="J42" s="13"/>
      <c r="M42" s="24"/>
    </row>
    <row r="43" spans="1:13" s="23" customFormat="1" ht="36.75" customHeight="1">
      <c r="A43" s="51" t="s">
        <v>46</v>
      </c>
      <c r="B43" s="20">
        <v>2320</v>
      </c>
      <c r="C43" s="21">
        <v>852</v>
      </c>
      <c r="D43" s="42">
        <v>291</v>
      </c>
      <c r="E43" s="43">
        <f>F43+G43+I43</f>
        <v>21300</v>
      </c>
      <c r="F43" s="54">
        <f>'2023 расх'!F133</f>
        <v>6300</v>
      </c>
      <c r="G43" s="54"/>
      <c r="H43" s="54"/>
      <c r="I43" s="54">
        <f>'2023 расх'!G127</f>
        <v>15000</v>
      </c>
      <c r="J43" s="13"/>
      <c r="M43" s="24"/>
    </row>
    <row r="44" spans="1:13" s="23" customFormat="1" ht="33.75" customHeight="1">
      <c r="A44" s="51" t="s">
        <v>47</v>
      </c>
      <c r="B44" s="20">
        <v>2330</v>
      </c>
      <c r="C44" s="21">
        <v>853</v>
      </c>
      <c r="D44" s="42" t="s">
        <v>48</v>
      </c>
      <c r="E44" s="43">
        <f>F44+G44+I44</f>
        <v>265000</v>
      </c>
      <c r="F44" s="54"/>
      <c r="G44" s="54"/>
      <c r="H44" s="54"/>
      <c r="I44" s="54">
        <f>'2023 расх'!G128+'2023 расх'!G129+'2023 расх'!G130</f>
        <v>265000</v>
      </c>
      <c r="J44" s="13"/>
      <c r="M44" s="24"/>
    </row>
    <row r="45" spans="1:13" s="23" customFormat="1" ht="31.5" customHeight="1">
      <c r="A45" s="25" t="s">
        <v>49</v>
      </c>
      <c r="B45" s="55">
        <v>2400</v>
      </c>
      <c r="C45" s="16" t="s">
        <v>16</v>
      </c>
      <c r="D45" s="16"/>
      <c r="E45" s="13"/>
      <c r="F45" s="13"/>
      <c r="G45" s="13"/>
      <c r="H45" s="13"/>
      <c r="I45" s="13"/>
      <c r="J45" s="13"/>
      <c r="M45" s="24"/>
    </row>
    <row r="46" spans="1:13" s="23" customFormat="1" ht="28.5" customHeight="1">
      <c r="A46" s="25" t="s">
        <v>50</v>
      </c>
      <c r="B46" s="20">
        <v>2500</v>
      </c>
      <c r="C46" s="16" t="s">
        <v>16</v>
      </c>
      <c r="D46" s="16"/>
      <c r="E46" s="13"/>
      <c r="F46" s="13"/>
      <c r="G46" s="13"/>
      <c r="H46" s="13"/>
      <c r="I46" s="13"/>
      <c r="J46" s="13"/>
      <c r="M46" s="24"/>
    </row>
    <row r="47" spans="1:13" s="58" customFormat="1" ht="27" customHeight="1">
      <c r="A47" s="56" t="s">
        <v>51</v>
      </c>
      <c r="B47" s="31">
        <v>2600</v>
      </c>
      <c r="C47" s="16" t="s">
        <v>20</v>
      </c>
      <c r="D47" s="16"/>
      <c r="E47" s="57">
        <f>E48+E52+E69</f>
        <v>128262106.204</v>
      </c>
      <c r="F47" s="57">
        <f>F48+F52+F69</f>
        <v>46900669.39400001</v>
      </c>
      <c r="G47" s="57">
        <f>G48+G52+G69</f>
        <v>51108008.12</v>
      </c>
      <c r="H47" s="57">
        <f>H48+H52+H69</f>
        <v>0</v>
      </c>
      <c r="I47" s="57">
        <f>I48+I52+I69</f>
        <v>30253428.69</v>
      </c>
      <c r="J47" s="57"/>
      <c r="M47" s="59"/>
    </row>
    <row r="48" spans="1:13" s="58" customFormat="1" ht="51" customHeight="1">
      <c r="A48" s="50" t="s">
        <v>371</v>
      </c>
      <c r="B48" s="31">
        <v>2610</v>
      </c>
      <c r="C48" s="16">
        <v>243</v>
      </c>
      <c r="D48" s="16"/>
      <c r="E48" s="57">
        <f>SUM(E49:E51)</f>
        <v>52449641.419999994</v>
      </c>
      <c r="F48" s="57"/>
      <c r="G48" s="57">
        <f>SUM(G49:G51)</f>
        <v>51066008.12</v>
      </c>
      <c r="H48" s="57"/>
      <c r="I48" s="57">
        <f>SUM(I49:I51)</f>
        <v>1383633.3</v>
      </c>
      <c r="J48" s="57"/>
      <c r="M48" s="59"/>
    </row>
    <row r="49" spans="1:13" s="23" customFormat="1" ht="53.25" customHeight="1">
      <c r="A49" s="25" t="s">
        <v>372</v>
      </c>
      <c r="B49" s="20">
        <v>2611</v>
      </c>
      <c r="C49" s="21">
        <v>243</v>
      </c>
      <c r="D49" s="21">
        <v>225</v>
      </c>
      <c r="E49" s="13">
        <f>F49+G49+I49</f>
        <v>51066008.12</v>
      </c>
      <c r="F49" s="54"/>
      <c r="G49" s="54">
        <f>7395669.72+'расх иные 2023'!H26+7064088.4</f>
        <v>51066008.12</v>
      </c>
      <c r="H49" s="54"/>
      <c r="I49" s="54">
        <v>0</v>
      </c>
      <c r="J49" s="13"/>
      <c r="M49" s="24"/>
    </row>
    <row r="50" spans="1:13" s="23" customFormat="1" ht="32.25" customHeight="1">
      <c r="A50" s="25" t="s">
        <v>54</v>
      </c>
      <c r="B50" s="20">
        <v>2612</v>
      </c>
      <c r="C50" s="21">
        <v>243</v>
      </c>
      <c r="D50" s="21">
        <v>228</v>
      </c>
      <c r="E50" s="13">
        <f>F50+G50+I50</f>
        <v>1383633.3</v>
      </c>
      <c r="F50" s="54"/>
      <c r="G50" s="54"/>
      <c r="H50" s="54"/>
      <c r="I50" s="54">
        <f>'2023 расх'!G149</f>
        <v>1383633.3</v>
      </c>
      <c r="J50" s="13"/>
      <c r="M50" s="24"/>
    </row>
    <row r="51" spans="1:13" s="23" customFormat="1" ht="32.25" customHeight="1">
      <c r="A51" s="25" t="s">
        <v>55</v>
      </c>
      <c r="B51" s="20">
        <v>2613</v>
      </c>
      <c r="C51" s="21">
        <v>243</v>
      </c>
      <c r="D51" s="21">
        <v>310</v>
      </c>
      <c r="E51" s="13">
        <f>F51+G51+I51</f>
        <v>0</v>
      </c>
      <c r="F51" s="54"/>
      <c r="G51" s="54"/>
      <c r="H51" s="54"/>
      <c r="I51" s="54"/>
      <c r="J51" s="13"/>
      <c r="M51" s="24"/>
    </row>
    <row r="52" spans="1:13" s="23" customFormat="1" ht="32.25" customHeight="1">
      <c r="A52" s="60" t="s">
        <v>56</v>
      </c>
      <c r="B52" s="61" t="s">
        <v>57</v>
      </c>
      <c r="C52" s="61">
        <v>244</v>
      </c>
      <c r="D52" s="21"/>
      <c r="E52" s="13">
        <f>SUM(E53:E68)</f>
        <v>66153364.782000005</v>
      </c>
      <c r="F52" s="13">
        <f>SUM(F53:F67)</f>
        <v>37241569.392000005</v>
      </c>
      <c r="G52" s="13">
        <f>SUM(G53:G67)</f>
        <v>42000</v>
      </c>
      <c r="H52" s="13"/>
      <c r="I52" s="13">
        <f>SUM(I53:I68)</f>
        <v>28869795.39</v>
      </c>
      <c r="J52" s="13"/>
      <c r="M52" s="24"/>
    </row>
    <row r="53" spans="1:13" s="23" customFormat="1" ht="59.25" customHeight="1">
      <c r="A53" s="25" t="s">
        <v>373</v>
      </c>
      <c r="B53" s="20">
        <v>2621</v>
      </c>
      <c r="C53" s="21">
        <v>244</v>
      </c>
      <c r="D53" s="21">
        <v>221</v>
      </c>
      <c r="E53" s="13">
        <f aca="true" t="shared" si="0" ref="E53:E60">F53+G53+I53</f>
        <v>327104.41</v>
      </c>
      <c r="F53" s="54">
        <f>'2023 расх'!F164+10000+2000</f>
        <v>56100</v>
      </c>
      <c r="G53" s="54"/>
      <c r="H53" s="54"/>
      <c r="I53" s="54">
        <f>'2023 расх'!G164</f>
        <v>271004.41</v>
      </c>
      <c r="J53" s="13"/>
      <c r="M53" s="24"/>
    </row>
    <row r="54" spans="1:13" s="23" customFormat="1" ht="39.75" customHeight="1">
      <c r="A54" s="25" t="s">
        <v>40</v>
      </c>
      <c r="B54" s="20">
        <v>2622</v>
      </c>
      <c r="C54" s="21">
        <v>244</v>
      </c>
      <c r="D54" s="21">
        <v>222</v>
      </c>
      <c r="E54" s="13">
        <f t="shared" si="0"/>
        <v>295000</v>
      </c>
      <c r="F54" s="54">
        <f>'2023 расх'!F175+36000</f>
        <v>86000</v>
      </c>
      <c r="G54" s="54"/>
      <c r="H54" s="54"/>
      <c r="I54" s="54">
        <f>'2023 расх'!G175</f>
        <v>209000</v>
      </c>
      <c r="J54" s="13"/>
      <c r="M54" s="24"/>
    </row>
    <row r="55" spans="1:13" s="23" customFormat="1" ht="36.75" customHeight="1">
      <c r="A55" s="25" t="s">
        <v>59</v>
      </c>
      <c r="B55" s="20">
        <v>2623</v>
      </c>
      <c r="C55" s="21">
        <v>244</v>
      </c>
      <c r="D55" s="21">
        <v>223</v>
      </c>
      <c r="E55" s="13">
        <f t="shared" si="0"/>
        <v>2430700.002</v>
      </c>
      <c r="F55" s="54">
        <f>'2023 расх'!F187</f>
        <v>2430700.002</v>
      </c>
      <c r="G55" s="54"/>
      <c r="H55" s="54"/>
      <c r="I55" s="54"/>
      <c r="J55" s="13"/>
      <c r="M55" s="24"/>
    </row>
    <row r="56" spans="1:13" s="23" customFormat="1" ht="33" customHeight="1">
      <c r="A56" s="25" t="s">
        <v>60</v>
      </c>
      <c r="B56" s="20">
        <v>2624</v>
      </c>
      <c r="C56" s="21">
        <v>244</v>
      </c>
      <c r="D56" s="21">
        <v>225</v>
      </c>
      <c r="E56" s="13">
        <f t="shared" si="0"/>
        <v>10000180.370000001</v>
      </c>
      <c r="F56" s="54">
        <f>'2023 расх'!F225+7298169.39-10000-7200000-88000+20000</f>
        <v>1623969.3900000006</v>
      </c>
      <c r="G56" s="54"/>
      <c r="H56" s="54"/>
      <c r="I56" s="54">
        <f>'2023 расх'!G225+3341514.18-1100000+10000-2232200</f>
        <v>8376210.98</v>
      </c>
      <c r="J56" s="13"/>
      <c r="M56" s="24"/>
    </row>
    <row r="57" spans="1:13" s="23" customFormat="1" ht="31.5" customHeight="1">
      <c r="A57" s="25" t="s">
        <v>41</v>
      </c>
      <c r="B57" s="20">
        <v>2625</v>
      </c>
      <c r="C57" s="21">
        <v>244</v>
      </c>
      <c r="D57" s="21">
        <v>226</v>
      </c>
      <c r="E57" s="13">
        <f t="shared" si="0"/>
        <v>4420592</v>
      </c>
      <c r="F57" s="54">
        <f>'2023 расх'!F245+30000</f>
        <v>3053592</v>
      </c>
      <c r="G57" s="54">
        <f>'расх иные 2023'!H40</f>
        <v>42000</v>
      </c>
      <c r="H57" s="54"/>
      <c r="I57" s="54">
        <f>'2023 расх'!G245+600000-237500+120000</f>
        <v>1325000</v>
      </c>
      <c r="J57" s="13"/>
      <c r="M57" s="24"/>
    </row>
    <row r="58" spans="1:13" s="23" customFormat="1" ht="31.5" customHeight="1">
      <c r="A58" s="25" t="s">
        <v>61</v>
      </c>
      <c r="B58" s="20">
        <v>2626</v>
      </c>
      <c r="C58" s="21">
        <v>244</v>
      </c>
      <c r="D58" s="21">
        <v>227</v>
      </c>
      <c r="E58" s="13">
        <f t="shared" si="0"/>
        <v>114400</v>
      </c>
      <c r="F58" s="54">
        <f>'2023 расх'!F256</f>
        <v>17400</v>
      </c>
      <c r="G58" s="54"/>
      <c r="H58" s="54"/>
      <c r="I58" s="54">
        <f>'2023 расх'!G256</f>
        <v>97000</v>
      </c>
      <c r="J58" s="13"/>
      <c r="M58" s="24"/>
    </row>
    <row r="59" spans="1:13" s="23" customFormat="1" ht="36" customHeight="1">
      <c r="A59" s="25" t="s">
        <v>54</v>
      </c>
      <c r="B59" s="20">
        <v>2627</v>
      </c>
      <c r="C59" s="21">
        <v>244</v>
      </c>
      <c r="D59" s="21">
        <v>228</v>
      </c>
      <c r="E59" s="13">
        <f t="shared" si="0"/>
        <v>0</v>
      </c>
      <c r="F59" s="54"/>
      <c r="G59" s="54"/>
      <c r="H59" s="54"/>
      <c r="I59" s="54"/>
      <c r="J59" s="13"/>
      <c r="M59" s="24"/>
    </row>
    <row r="60" spans="1:13" s="23" customFormat="1" ht="31.5" customHeight="1">
      <c r="A60" s="25" t="s">
        <v>55</v>
      </c>
      <c r="B60" s="20">
        <v>2628</v>
      </c>
      <c r="C60" s="21">
        <v>244</v>
      </c>
      <c r="D60" s="21">
        <v>310</v>
      </c>
      <c r="E60" s="13">
        <f t="shared" si="0"/>
        <v>2300000</v>
      </c>
      <c r="F60" s="54">
        <f>'2023 расх'!F269</f>
        <v>0</v>
      </c>
      <c r="G60" s="54"/>
      <c r="H60" s="54"/>
      <c r="I60" s="54">
        <f>'2023 расх'!G269+600000</f>
        <v>2300000</v>
      </c>
      <c r="J60" s="13"/>
      <c r="M60" s="24"/>
    </row>
    <row r="61" spans="1:13" s="23" customFormat="1" ht="37.5" customHeight="1">
      <c r="A61" s="25" t="s">
        <v>62</v>
      </c>
      <c r="B61" s="20">
        <v>2629</v>
      </c>
      <c r="C61" s="21">
        <v>244</v>
      </c>
      <c r="D61" s="21">
        <v>341</v>
      </c>
      <c r="E61" s="32">
        <f aca="true" t="shared" si="1" ref="E61:E68">F61+G61+H61+I61</f>
        <v>2867900</v>
      </c>
      <c r="F61" s="54">
        <f>'2023 расх'!F281</f>
        <v>1542900</v>
      </c>
      <c r="G61" s="54"/>
      <c r="H61" s="54"/>
      <c r="I61" s="54">
        <f>'2023 расх'!G281</f>
        <v>1325000</v>
      </c>
      <c r="J61" s="54"/>
      <c r="L61" s="62"/>
      <c r="M61" s="24"/>
    </row>
    <row r="62" spans="1:13" s="23" customFormat="1" ht="33" customHeight="1">
      <c r="A62" s="25" t="s">
        <v>63</v>
      </c>
      <c r="B62" s="20">
        <v>2630</v>
      </c>
      <c r="C62" s="21">
        <v>244</v>
      </c>
      <c r="D62" s="21">
        <v>342</v>
      </c>
      <c r="E62" s="32">
        <f t="shared" si="1"/>
        <v>27369500</v>
      </c>
      <c r="F62" s="54">
        <f>'2023 расх'!F290</f>
        <v>16807500</v>
      </c>
      <c r="G62" s="54"/>
      <c r="H62" s="54"/>
      <c r="I62" s="54">
        <f>'2023 расх'!G290</f>
        <v>10562000</v>
      </c>
      <c r="J62" s="54"/>
      <c r="L62" s="63"/>
      <c r="M62" s="24"/>
    </row>
    <row r="63" spans="1:13" s="23" customFormat="1" ht="30" customHeight="1">
      <c r="A63" s="25" t="s">
        <v>64</v>
      </c>
      <c r="B63" s="20">
        <v>2631</v>
      </c>
      <c r="C63" s="21">
        <v>244</v>
      </c>
      <c r="D63" s="21">
        <v>343</v>
      </c>
      <c r="E63" s="32">
        <f t="shared" si="1"/>
        <v>400000</v>
      </c>
      <c r="F63" s="54"/>
      <c r="G63" s="54"/>
      <c r="H63" s="54"/>
      <c r="I63" s="54">
        <f>'2023 расх'!G300</f>
        <v>400000</v>
      </c>
      <c r="J63" s="54"/>
      <c r="L63" s="63"/>
      <c r="M63" s="24"/>
    </row>
    <row r="64" spans="1:13" s="23" customFormat="1" ht="33.75" customHeight="1">
      <c r="A64" s="25" t="s">
        <v>65</v>
      </c>
      <c r="B64" s="20">
        <v>2632</v>
      </c>
      <c r="C64" s="21">
        <v>244</v>
      </c>
      <c r="D64" s="21">
        <v>344</v>
      </c>
      <c r="E64" s="32">
        <f t="shared" si="1"/>
        <v>682500</v>
      </c>
      <c r="F64" s="54"/>
      <c r="G64" s="54"/>
      <c r="H64" s="54"/>
      <c r="I64" s="54">
        <f>'2023 расх'!G309+107500</f>
        <v>682500</v>
      </c>
      <c r="J64" s="54"/>
      <c r="L64" s="63"/>
      <c r="M64" s="24"/>
    </row>
    <row r="65" spans="1:13" s="23" customFormat="1" ht="30" customHeight="1">
      <c r="A65" s="25" t="s">
        <v>66</v>
      </c>
      <c r="B65" s="20">
        <v>2633</v>
      </c>
      <c r="C65" s="21">
        <v>244</v>
      </c>
      <c r="D65" s="21">
        <v>345</v>
      </c>
      <c r="E65" s="32">
        <f t="shared" si="1"/>
        <v>4196100</v>
      </c>
      <c r="F65" s="54">
        <f>'2023 расх'!F322</f>
        <v>2951400</v>
      </c>
      <c r="G65" s="54"/>
      <c r="H65" s="54"/>
      <c r="I65" s="54">
        <f>'2023 расх'!G322+250000</f>
        <v>1244700</v>
      </c>
      <c r="J65" s="54"/>
      <c r="L65" s="63"/>
      <c r="M65" s="24"/>
    </row>
    <row r="66" spans="1:13" s="23" customFormat="1" ht="32.25" customHeight="1">
      <c r="A66" s="25" t="s">
        <v>67</v>
      </c>
      <c r="B66" s="20">
        <v>2634</v>
      </c>
      <c r="C66" s="21">
        <v>244</v>
      </c>
      <c r="D66" s="21">
        <v>346</v>
      </c>
      <c r="E66" s="32">
        <f t="shared" si="1"/>
        <v>10734388</v>
      </c>
      <c r="F66" s="54">
        <f>'2023 расх'!F339</f>
        <v>8672008</v>
      </c>
      <c r="G66" s="54"/>
      <c r="H66" s="54"/>
      <c r="I66" s="54">
        <f>'2023 расх'!G339+250000</f>
        <v>2062380</v>
      </c>
      <c r="J66" s="54"/>
      <c r="L66" s="63"/>
      <c r="M66" s="24"/>
    </row>
    <row r="67" spans="1:13" s="23" customFormat="1" ht="28.5" customHeight="1">
      <c r="A67" s="25" t="s">
        <v>68</v>
      </c>
      <c r="B67" s="20">
        <v>2635</v>
      </c>
      <c r="C67" s="21">
        <v>244</v>
      </c>
      <c r="D67" s="21">
        <v>349</v>
      </c>
      <c r="E67" s="32">
        <f t="shared" si="1"/>
        <v>10000</v>
      </c>
      <c r="F67" s="54"/>
      <c r="G67" s="54"/>
      <c r="H67" s="54"/>
      <c r="I67" s="54">
        <f>'2023 расх'!G348</f>
        <v>10000</v>
      </c>
      <c r="J67" s="54"/>
      <c r="L67" s="63"/>
      <c r="M67" s="24"/>
    </row>
    <row r="68" spans="1:13" s="23" customFormat="1" ht="28.5" customHeight="1">
      <c r="A68" s="25" t="s">
        <v>42</v>
      </c>
      <c r="B68" s="20">
        <v>2636</v>
      </c>
      <c r="C68" s="21">
        <v>244</v>
      </c>
      <c r="D68" s="21">
        <v>214</v>
      </c>
      <c r="E68" s="32">
        <f t="shared" si="1"/>
        <v>5000</v>
      </c>
      <c r="F68" s="54"/>
      <c r="G68" s="54"/>
      <c r="H68" s="54"/>
      <c r="I68" s="54">
        <f>'2023 расх'!G360</f>
        <v>5000</v>
      </c>
      <c r="J68" s="54"/>
      <c r="L68" s="63"/>
      <c r="M68" s="24"/>
    </row>
    <row r="69" spans="1:13" s="23" customFormat="1" ht="28.5" customHeight="1">
      <c r="A69" s="25" t="s">
        <v>69</v>
      </c>
      <c r="B69" s="15">
        <v>2640</v>
      </c>
      <c r="C69" s="16">
        <v>247</v>
      </c>
      <c r="D69" s="21"/>
      <c r="E69" s="32">
        <f>E70</f>
        <v>9659100.002</v>
      </c>
      <c r="F69" s="54">
        <f>F70</f>
        <v>9659100.002</v>
      </c>
      <c r="G69" s="54"/>
      <c r="H69" s="54"/>
      <c r="I69" s="54"/>
      <c r="J69" s="54"/>
      <c r="L69" s="63"/>
      <c r="M69" s="24"/>
    </row>
    <row r="70" spans="1:13" s="23" customFormat="1" ht="28.5" customHeight="1">
      <c r="A70" s="25" t="s">
        <v>59</v>
      </c>
      <c r="B70" s="20">
        <v>2641</v>
      </c>
      <c r="C70" s="21">
        <v>247</v>
      </c>
      <c r="D70" s="21">
        <v>223</v>
      </c>
      <c r="E70" s="32">
        <f>F70+G70+H70+I70</f>
        <v>9659100.002</v>
      </c>
      <c r="F70" s="54">
        <f>'2023 расх'!F202</f>
        <v>9659100.002</v>
      </c>
      <c r="G70" s="54"/>
      <c r="H70" s="54"/>
      <c r="I70" s="54"/>
      <c r="J70" s="54"/>
      <c r="L70" s="63"/>
      <c r="M70" s="24"/>
    </row>
    <row r="71" spans="1:13" s="23" customFormat="1" ht="31.5" customHeight="1">
      <c r="A71" s="25" t="s">
        <v>70</v>
      </c>
      <c r="B71" s="20">
        <v>3000</v>
      </c>
      <c r="C71" s="21" t="s">
        <v>20</v>
      </c>
      <c r="D71" s="21"/>
      <c r="E71" s="54"/>
      <c r="F71" s="54"/>
      <c r="G71" s="54"/>
      <c r="H71" s="54"/>
      <c r="I71" s="54"/>
      <c r="J71" s="54"/>
      <c r="M71" s="24"/>
    </row>
    <row r="72" spans="1:13" s="23" customFormat="1" ht="22.5" customHeight="1">
      <c r="A72" s="19" t="s">
        <v>36</v>
      </c>
      <c r="B72" s="276">
        <v>3100</v>
      </c>
      <c r="C72" s="277"/>
      <c r="D72" s="277"/>
      <c r="E72" s="275"/>
      <c r="F72" s="275"/>
      <c r="G72" s="275"/>
      <c r="H72" s="275"/>
      <c r="I72" s="275"/>
      <c r="J72" s="275"/>
      <c r="M72" s="24"/>
    </row>
    <row r="73" spans="1:13" s="23" customFormat="1" ht="32.25" customHeight="1">
      <c r="A73" s="19" t="s">
        <v>71</v>
      </c>
      <c r="B73" s="276"/>
      <c r="C73" s="277"/>
      <c r="D73" s="277"/>
      <c r="E73" s="275"/>
      <c r="F73" s="275"/>
      <c r="G73" s="275"/>
      <c r="H73" s="275"/>
      <c r="I73" s="275"/>
      <c r="J73" s="275"/>
      <c r="M73" s="24"/>
    </row>
    <row r="74" spans="1:13" s="23" customFormat="1" ht="33" customHeight="1">
      <c r="A74" s="25" t="s">
        <v>72</v>
      </c>
      <c r="B74" s="20">
        <v>3200</v>
      </c>
      <c r="C74" s="21"/>
      <c r="D74" s="21"/>
      <c r="E74" s="54"/>
      <c r="F74" s="54"/>
      <c r="G74" s="54"/>
      <c r="H74" s="54"/>
      <c r="I74" s="54"/>
      <c r="J74" s="54"/>
      <c r="M74" s="24"/>
    </row>
    <row r="75" spans="1:13" s="23" customFormat="1" ht="28.5" customHeight="1">
      <c r="A75" s="25" t="s">
        <v>73</v>
      </c>
      <c r="B75" s="20">
        <v>4000</v>
      </c>
      <c r="C75" s="21" t="s">
        <v>20</v>
      </c>
      <c r="D75" s="21"/>
      <c r="E75" s="13"/>
      <c r="F75" s="13">
        <v>0</v>
      </c>
      <c r="G75" s="13"/>
      <c r="H75" s="13">
        <f>H76</f>
        <v>0</v>
      </c>
      <c r="I75" s="13">
        <f>I76</f>
        <v>0</v>
      </c>
      <c r="J75" s="54"/>
      <c r="M75" s="24"/>
    </row>
    <row r="76" spans="1:13" s="23" customFormat="1" ht="20.25" customHeight="1">
      <c r="A76" s="19" t="s">
        <v>36</v>
      </c>
      <c r="B76" s="276">
        <v>4100</v>
      </c>
      <c r="C76" s="277">
        <v>130</v>
      </c>
      <c r="D76" s="277">
        <v>610</v>
      </c>
      <c r="E76" s="278">
        <f>G76+H76+I76</f>
        <v>0</v>
      </c>
      <c r="F76" s="275">
        <v>0</v>
      </c>
      <c r="G76" s="275"/>
      <c r="H76" s="278">
        <v>0</v>
      </c>
      <c r="I76" s="278">
        <v>0</v>
      </c>
      <c r="J76" s="278"/>
      <c r="M76" s="24"/>
    </row>
    <row r="77" spans="1:13" s="23" customFormat="1" ht="33" customHeight="1">
      <c r="A77" s="19" t="s">
        <v>74</v>
      </c>
      <c r="B77" s="276"/>
      <c r="C77" s="277"/>
      <c r="D77" s="277"/>
      <c r="E77" s="278"/>
      <c r="F77" s="275"/>
      <c r="G77" s="275"/>
      <c r="H77" s="278"/>
      <c r="I77" s="278"/>
      <c r="J77" s="278"/>
      <c r="M77" s="24"/>
    </row>
    <row r="78" spans="1:13" s="23" customFormat="1" ht="38.25" customHeight="1">
      <c r="A78" s="25" t="s">
        <v>75</v>
      </c>
      <c r="B78" s="20">
        <v>4200</v>
      </c>
      <c r="C78" s="16"/>
      <c r="D78" s="16"/>
      <c r="E78" s="13"/>
      <c r="F78" s="13"/>
      <c r="G78" s="13"/>
      <c r="H78" s="13"/>
      <c r="I78" s="13"/>
      <c r="J78" s="13"/>
      <c r="M78" s="24"/>
    </row>
    <row r="79" spans="1:13" s="23" customFormat="1" ht="38.25" customHeight="1">
      <c r="A79" s="64"/>
      <c r="B79" s="62"/>
      <c r="C79" s="65"/>
      <c r="D79" s="65"/>
      <c r="E79" s="66"/>
      <c r="F79" s="66"/>
      <c r="G79" s="66"/>
      <c r="H79" s="66"/>
      <c r="I79" s="66"/>
      <c r="J79" s="66"/>
      <c r="M79" s="24"/>
    </row>
    <row r="80" spans="1:10" ht="30.75" customHeight="1">
      <c r="A80" s="67" t="s">
        <v>403</v>
      </c>
      <c r="B80" s="68"/>
      <c r="C80" s="69"/>
      <c r="D80" s="69"/>
      <c r="E80" s="70"/>
      <c r="H80" s="274" t="s">
        <v>404</v>
      </c>
      <c r="I80" s="274"/>
      <c r="J80" s="274"/>
    </row>
    <row r="81" spans="1:9" ht="30.75" customHeight="1">
      <c r="A81" s="71" t="s">
        <v>76</v>
      </c>
      <c r="C81" s="72"/>
      <c r="D81" s="72"/>
      <c r="E81" s="73" t="s">
        <v>77</v>
      </c>
      <c r="I81" s="73" t="s">
        <v>78</v>
      </c>
    </row>
    <row r="82" ht="30.75" customHeight="1">
      <c r="A82" s="71"/>
    </row>
    <row r="83" spans="1:10" ht="30.75" customHeight="1">
      <c r="A83" s="67" t="s">
        <v>79</v>
      </c>
      <c r="B83" s="68"/>
      <c r="C83" s="69"/>
      <c r="D83" s="69"/>
      <c r="E83" s="70"/>
      <c r="H83" s="274" t="s">
        <v>80</v>
      </c>
      <c r="I83" s="274"/>
      <c r="J83" s="274"/>
    </row>
    <row r="84" spans="1:9" ht="30.75" customHeight="1">
      <c r="A84" s="71" t="s">
        <v>76</v>
      </c>
      <c r="C84" s="72"/>
      <c r="D84" s="72"/>
      <c r="E84" s="73" t="s">
        <v>77</v>
      </c>
      <c r="I84" s="73" t="s">
        <v>78</v>
      </c>
    </row>
    <row r="85" ht="30.75" customHeight="1">
      <c r="A85" s="73" t="s">
        <v>81</v>
      </c>
    </row>
    <row r="861" ht="24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>
      <c r="B65536" s="1">
        <v>7</v>
      </c>
    </row>
  </sheetData>
  <sheetProtection selectLockedCells="1" selectUnlockedCells="1"/>
  <mergeCells count="45">
    <mergeCell ref="L17:AC17"/>
    <mergeCell ref="N21:AG21"/>
    <mergeCell ref="H1:J1"/>
    <mergeCell ref="A3:J3"/>
    <mergeCell ref="A4:J4"/>
    <mergeCell ref="A6:A9"/>
    <mergeCell ref="B6:B9"/>
    <mergeCell ref="F31:F32"/>
    <mergeCell ref="G31:G32"/>
    <mergeCell ref="C6:C9"/>
    <mergeCell ref="F8:F9"/>
    <mergeCell ref="G8:G9"/>
    <mergeCell ref="D6:D9"/>
    <mergeCell ref="E6:J6"/>
    <mergeCell ref="F7:J7"/>
    <mergeCell ref="H8:H9"/>
    <mergeCell ref="I8:J8"/>
    <mergeCell ref="B72:B73"/>
    <mergeCell ref="C72:C73"/>
    <mergeCell ref="D72:D73"/>
    <mergeCell ref="E72:E73"/>
    <mergeCell ref="F72:F73"/>
    <mergeCell ref="E7:E9"/>
    <mergeCell ref="B31:B32"/>
    <mergeCell ref="C31:C32"/>
    <mergeCell ref="D31:D32"/>
    <mergeCell ref="E31:E32"/>
    <mergeCell ref="G72:G73"/>
    <mergeCell ref="H76:H77"/>
    <mergeCell ref="I76:I77"/>
    <mergeCell ref="H31:H32"/>
    <mergeCell ref="I31:I32"/>
    <mergeCell ref="J31:J32"/>
    <mergeCell ref="H72:H73"/>
    <mergeCell ref="J76:J77"/>
    <mergeCell ref="H80:J80"/>
    <mergeCell ref="H83:J83"/>
    <mergeCell ref="I72:I73"/>
    <mergeCell ref="J72:J73"/>
    <mergeCell ref="B76:B77"/>
    <mergeCell ref="C76:C77"/>
    <mergeCell ref="D76:D77"/>
    <mergeCell ref="E76:E77"/>
    <mergeCell ref="F76:F77"/>
    <mergeCell ref="G76:G77"/>
  </mergeCells>
  <hyperlinks>
    <hyperlink ref="A11" location="P861" display="Остаток средств на начало текущего финансового года "/>
    <hyperlink ref="A12" location="P861" display="Остаток средств на конец текущего финансового года"/>
  </hyperlinks>
  <printOptions/>
  <pageMargins left="0.7875" right="0.39375" top="1.18125" bottom="0.39375" header="0.5118055555555555" footer="0.5118055555555555"/>
  <pageSetup fitToHeight="2" fitToWidth="1" horizontalDpi="600" verticalDpi="600" orientation="landscape" paperSize="9" scale="28" r:id="rId1"/>
  <rowBreaks count="2" manualBreakCount="2">
    <brk id="33" max="255" man="1"/>
    <brk id="74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1"/>
  <sheetViews>
    <sheetView zoomScalePageLayoutView="0" workbookViewId="0" topLeftCell="A13">
      <selection activeCell="F26" sqref="F26"/>
    </sheetView>
  </sheetViews>
  <sheetFormatPr defaultColWidth="9.140625" defaultRowHeight="15"/>
  <cols>
    <col min="1" max="1" width="8.7109375" style="205" customWidth="1"/>
    <col min="2" max="2" width="79.28125" style="205" customWidth="1"/>
    <col min="3" max="3" width="8.00390625" style="205" customWidth="1"/>
    <col min="4" max="4" width="9.140625" style="205" customWidth="1"/>
    <col min="5" max="5" width="15.421875" style="206" customWidth="1"/>
    <col min="6" max="6" width="15.7109375" style="206" customWidth="1"/>
    <col min="7" max="7" width="14.140625" style="206" customWidth="1"/>
  </cols>
  <sheetData>
    <row r="1" spans="6:7" ht="15.75">
      <c r="F1" s="365"/>
      <c r="G1" s="365"/>
    </row>
    <row r="2" spans="1:7" ht="15.75" customHeight="1">
      <c r="A2" s="366" t="s">
        <v>323</v>
      </c>
      <c r="B2" s="366"/>
      <c r="C2" s="366"/>
      <c r="D2" s="366"/>
      <c r="E2" s="366"/>
      <c r="F2" s="366"/>
      <c r="G2" s="366"/>
    </row>
    <row r="4" spans="1:7" ht="15" customHeight="1">
      <c r="A4" s="367" t="s">
        <v>324</v>
      </c>
      <c r="B4" s="368" t="s">
        <v>2</v>
      </c>
      <c r="C4" s="367" t="s">
        <v>325</v>
      </c>
      <c r="D4" s="367" t="s">
        <v>326</v>
      </c>
      <c r="E4" s="367" t="s">
        <v>327</v>
      </c>
      <c r="F4" s="367"/>
      <c r="G4" s="367"/>
    </row>
    <row r="5" spans="1:7" ht="51">
      <c r="A5" s="367"/>
      <c r="B5" s="368"/>
      <c r="C5" s="367"/>
      <c r="D5" s="367"/>
      <c r="E5" s="207" t="s">
        <v>328</v>
      </c>
      <c r="F5" s="207" t="s">
        <v>329</v>
      </c>
      <c r="G5" s="207" t="s">
        <v>330</v>
      </c>
    </row>
    <row r="6" spans="1:7" ht="15.75">
      <c r="A6" s="209">
        <v>1</v>
      </c>
      <c r="B6" s="208">
        <v>2</v>
      </c>
      <c r="C6" s="209">
        <v>3</v>
      </c>
      <c r="D6" s="209">
        <v>4</v>
      </c>
      <c r="E6" s="209">
        <v>5</v>
      </c>
      <c r="F6" s="209">
        <v>6</v>
      </c>
      <c r="G6" s="209">
        <v>7</v>
      </c>
    </row>
    <row r="7" spans="1:7" ht="21.75" customHeight="1">
      <c r="A7" s="210">
        <v>1</v>
      </c>
      <c r="B7" s="211" t="s">
        <v>331</v>
      </c>
      <c r="C7" s="210">
        <v>26000</v>
      </c>
      <c r="D7" s="210" t="s">
        <v>119</v>
      </c>
      <c r="E7" s="212">
        <f>E10+E11</f>
        <v>128262106.204</v>
      </c>
      <c r="F7" s="212">
        <f>F10+F11</f>
        <v>61866000</v>
      </c>
      <c r="G7" s="212">
        <f>G10+G11</f>
        <v>37194600</v>
      </c>
    </row>
    <row r="8" spans="1:7" ht="147" customHeight="1">
      <c r="A8" s="213" t="s">
        <v>332</v>
      </c>
      <c r="B8" s="214" t="s">
        <v>333</v>
      </c>
      <c r="C8" s="215">
        <v>26100</v>
      </c>
      <c r="D8" s="215" t="s">
        <v>16</v>
      </c>
      <c r="E8" s="216">
        <v>0</v>
      </c>
      <c r="F8" s="216">
        <v>0</v>
      </c>
      <c r="G8" s="216">
        <v>0</v>
      </c>
    </row>
    <row r="9" spans="1:7" ht="49.5" customHeight="1">
      <c r="A9" s="217" t="s">
        <v>334</v>
      </c>
      <c r="B9" s="214" t="s">
        <v>335</v>
      </c>
      <c r="C9" s="217">
        <v>26200</v>
      </c>
      <c r="D9" s="217" t="s">
        <v>119</v>
      </c>
      <c r="E9" s="218">
        <v>0</v>
      </c>
      <c r="F9" s="218">
        <v>0</v>
      </c>
      <c r="G9" s="218">
        <v>0</v>
      </c>
    </row>
    <row r="10" spans="1:7" ht="51" customHeight="1">
      <c r="A10" s="217" t="s">
        <v>336</v>
      </c>
      <c r="B10" s="214" t="s">
        <v>337</v>
      </c>
      <c r="C10" s="217">
        <v>26300</v>
      </c>
      <c r="D10" s="217" t="s">
        <v>119</v>
      </c>
      <c r="E10" s="218">
        <v>599327.19</v>
      </c>
      <c r="F10" s="218">
        <v>0</v>
      </c>
      <c r="G10" s="218">
        <v>0</v>
      </c>
    </row>
    <row r="11" spans="1:7" ht="48.75" customHeight="1">
      <c r="A11" s="217" t="s">
        <v>338</v>
      </c>
      <c r="B11" s="214" t="s">
        <v>339</v>
      </c>
      <c r="C11" s="217">
        <v>26400</v>
      </c>
      <c r="D11" s="217" t="s">
        <v>119</v>
      </c>
      <c r="E11" s="218">
        <f>E12+E15+E22</f>
        <v>127662779.014</v>
      </c>
      <c r="F11" s="218">
        <f>F12+F15+F18+F19+F22</f>
        <v>61866000</v>
      </c>
      <c r="G11" s="218">
        <f>G12+G15+G18+G19+G22</f>
        <v>37194600</v>
      </c>
    </row>
    <row r="12" spans="1:7" ht="34.5" customHeight="1">
      <c r="A12" s="219" t="s">
        <v>340</v>
      </c>
      <c r="B12" s="220" t="s">
        <v>341</v>
      </c>
      <c r="C12" s="221">
        <v>26410</v>
      </c>
      <c r="D12" s="221" t="s">
        <v>16</v>
      </c>
      <c r="E12" s="222">
        <f>E13+E14</f>
        <v>46301342.20400001</v>
      </c>
      <c r="F12" s="222">
        <f>F13+F14</f>
        <v>29970500</v>
      </c>
      <c r="G12" s="222">
        <f>G13+G14</f>
        <v>8624700</v>
      </c>
    </row>
    <row r="13" spans="1:7" s="226" customFormat="1" ht="38.25" customHeight="1">
      <c r="A13" s="223" t="s">
        <v>342</v>
      </c>
      <c r="B13" s="224" t="s">
        <v>343</v>
      </c>
      <c r="C13" s="223">
        <v>26411</v>
      </c>
      <c r="D13" s="223" t="s">
        <v>16</v>
      </c>
      <c r="E13" s="225">
        <f>'ПФХД 2023'!F47-E10</f>
        <v>46301342.20400001</v>
      </c>
      <c r="F13" s="225">
        <f>'ПФХД 2024'!F43</f>
        <v>29970500</v>
      </c>
      <c r="G13" s="225">
        <f>'ПФХД 2025'!F43</f>
        <v>8624700</v>
      </c>
    </row>
    <row r="14" spans="1:7" ht="15.75">
      <c r="A14" s="209" t="s">
        <v>344</v>
      </c>
      <c r="B14" s="227" t="s">
        <v>345</v>
      </c>
      <c r="C14" s="209">
        <v>26412</v>
      </c>
      <c r="D14" s="209" t="s">
        <v>119</v>
      </c>
      <c r="E14" s="228">
        <v>0</v>
      </c>
      <c r="F14" s="228">
        <v>0</v>
      </c>
      <c r="G14" s="228">
        <v>0</v>
      </c>
    </row>
    <row r="15" spans="1:7" ht="36.75" customHeight="1">
      <c r="A15" s="229" t="s">
        <v>346</v>
      </c>
      <c r="B15" s="230" t="s">
        <v>347</v>
      </c>
      <c r="C15" s="229">
        <v>26420</v>
      </c>
      <c r="D15" s="229" t="s">
        <v>119</v>
      </c>
      <c r="E15" s="231">
        <f>E16+E17</f>
        <v>51108008.12</v>
      </c>
      <c r="F15" s="231">
        <f>F16+F17</f>
        <v>3365600</v>
      </c>
      <c r="G15" s="231">
        <f>G16+G17</f>
        <v>40000</v>
      </c>
    </row>
    <row r="16" spans="1:7" ht="36.75" customHeight="1">
      <c r="A16" s="223" t="s">
        <v>348</v>
      </c>
      <c r="B16" s="232" t="s">
        <v>343</v>
      </c>
      <c r="C16" s="223">
        <v>26421</v>
      </c>
      <c r="D16" s="223" t="s">
        <v>16</v>
      </c>
      <c r="E16" s="225">
        <f>'ПФХД 2023'!G47</f>
        <v>51108008.12</v>
      </c>
      <c r="F16" s="225">
        <f>'ПФХД 2024'!G43</f>
        <v>3365600</v>
      </c>
      <c r="G16" s="225">
        <f>'ПФХД 2025'!G43</f>
        <v>40000</v>
      </c>
    </row>
    <row r="17" spans="1:7" ht="15.75">
      <c r="A17" s="209" t="s">
        <v>349</v>
      </c>
      <c r="B17" s="227" t="s">
        <v>345</v>
      </c>
      <c r="C17" s="209">
        <v>26422</v>
      </c>
      <c r="D17" s="209" t="s">
        <v>119</v>
      </c>
      <c r="E17" s="228">
        <v>0</v>
      </c>
      <c r="F17" s="228">
        <v>0</v>
      </c>
      <c r="G17" s="228">
        <v>0</v>
      </c>
    </row>
    <row r="18" spans="1:7" ht="21" customHeight="1">
      <c r="A18" s="229" t="s">
        <v>350</v>
      </c>
      <c r="B18" s="230" t="s">
        <v>351</v>
      </c>
      <c r="C18" s="229">
        <v>26430</v>
      </c>
      <c r="D18" s="229" t="s">
        <v>119</v>
      </c>
      <c r="E18" s="231">
        <v>0</v>
      </c>
      <c r="F18" s="231">
        <v>0</v>
      </c>
      <c r="G18" s="231">
        <v>0</v>
      </c>
    </row>
    <row r="19" spans="1:7" ht="15.75">
      <c r="A19" s="229" t="s">
        <v>352</v>
      </c>
      <c r="B19" s="220" t="s">
        <v>353</v>
      </c>
      <c r="C19" s="229">
        <v>26440</v>
      </c>
      <c r="D19" s="229" t="s">
        <v>119</v>
      </c>
      <c r="E19" s="231">
        <v>0</v>
      </c>
      <c r="F19" s="231">
        <v>0</v>
      </c>
      <c r="G19" s="231">
        <v>0</v>
      </c>
    </row>
    <row r="20" spans="1:7" ht="38.25" customHeight="1">
      <c r="A20" s="223" t="s">
        <v>354</v>
      </c>
      <c r="B20" s="232" t="s">
        <v>355</v>
      </c>
      <c r="C20" s="223">
        <v>26441</v>
      </c>
      <c r="D20" s="223" t="s">
        <v>16</v>
      </c>
      <c r="E20" s="225">
        <v>0</v>
      </c>
      <c r="F20" s="225">
        <v>0</v>
      </c>
      <c r="G20" s="225">
        <v>0</v>
      </c>
    </row>
    <row r="21" spans="1:7" ht="20.25" customHeight="1">
      <c r="A21" s="209" t="s">
        <v>356</v>
      </c>
      <c r="B21" s="227" t="s">
        <v>357</v>
      </c>
      <c r="C21" s="209">
        <v>26442</v>
      </c>
      <c r="D21" s="209" t="s">
        <v>119</v>
      </c>
      <c r="E21" s="228">
        <v>0</v>
      </c>
      <c r="F21" s="228">
        <v>0</v>
      </c>
      <c r="G21" s="228">
        <v>0</v>
      </c>
    </row>
    <row r="22" spans="1:7" ht="21" customHeight="1">
      <c r="A22" s="229" t="s">
        <v>358</v>
      </c>
      <c r="B22" s="220" t="s">
        <v>359</v>
      </c>
      <c r="C22" s="229">
        <v>26450</v>
      </c>
      <c r="D22" s="229" t="s">
        <v>119</v>
      </c>
      <c r="E22" s="231">
        <f>E23+E24</f>
        <v>30253428.69</v>
      </c>
      <c r="F22" s="231">
        <f>F23+F24</f>
        <v>28529900</v>
      </c>
      <c r="G22" s="231">
        <f>G23+G24</f>
        <v>28529900</v>
      </c>
    </row>
    <row r="23" spans="1:7" ht="33" customHeight="1">
      <c r="A23" s="223" t="s">
        <v>360</v>
      </c>
      <c r="B23" s="232" t="s">
        <v>355</v>
      </c>
      <c r="C23" s="223">
        <v>26452</v>
      </c>
      <c r="D23" s="223" t="s">
        <v>16</v>
      </c>
      <c r="E23" s="225">
        <v>0</v>
      </c>
      <c r="F23" s="225">
        <v>0</v>
      </c>
      <c r="G23" s="225">
        <v>0</v>
      </c>
    </row>
    <row r="24" spans="1:7" ht="24" customHeight="1">
      <c r="A24" s="209" t="s">
        <v>361</v>
      </c>
      <c r="B24" s="233" t="s">
        <v>345</v>
      </c>
      <c r="C24" s="209">
        <v>26452</v>
      </c>
      <c r="D24" s="209" t="s">
        <v>119</v>
      </c>
      <c r="E24" s="228">
        <f>'ПФХД 2023'!I47</f>
        <v>30253428.69</v>
      </c>
      <c r="F24" s="228">
        <f>'ПФХД 2024'!I43</f>
        <v>28529900</v>
      </c>
      <c r="G24" s="228">
        <f>'ПФХД 2025'!I43</f>
        <v>28529900</v>
      </c>
    </row>
    <row r="25" spans="1:7" ht="47.25" customHeight="1">
      <c r="A25" s="217" t="s">
        <v>167</v>
      </c>
      <c r="B25" s="214" t="s">
        <v>362</v>
      </c>
      <c r="C25" s="217">
        <v>26500</v>
      </c>
      <c r="D25" s="217" t="s">
        <v>119</v>
      </c>
      <c r="E25" s="218">
        <f>E26+E27+E28</f>
        <v>97409350.324</v>
      </c>
      <c r="F25" s="218">
        <f>F26+F27+F28</f>
        <v>33336100</v>
      </c>
      <c r="G25" s="218">
        <f>G26+G27+G28</f>
        <v>8664700</v>
      </c>
    </row>
    <row r="26" spans="1:7" ht="18.75" customHeight="1">
      <c r="A26" s="234" t="s">
        <v>139</v>
      </c>
      <c r="B26" s="235" t="s">
        <v>363</v>
      </c>
      <c r="C26" s="236">
        <v>26510</v>
      </c>
      <c r="D26" s="236">
        <v>2023</v>
      </c>
      <c r="E26" s="237">
        <f>E13+E16</f>
        <v>97409350.324</v>
      </c>
      <c r="F26" s="237">
        <v>25700000</v>
      </c>
      <c r="G26" s="237">
        <v>0</v>
      </c>
    </row>
    <row r="27" spans="1:7" ht="15.75" customHeight="1">
      <c r="A27" s="234" t="s">
        <v>141</v>
      </c>
      <c r="B27" s="235" t="s">
        <v>363</v>
      </c>
      <c r="C27" s="236">
        <v>26520</v>
      </c>
      <c r="D27" s="209">
        <v>2024</v>
      </c>
      <c r="E27" s="237">
        <v>0</v>
      </c>
      <c r="F27" s="237">
        <v>7636100</v>
      </c>
      <c r="G27" s="237"/>
    </row>
    <row r="28" spans="1:7" ht="20.25" customHeight="1">
      <c r="A28" s="238" t="s">
        <v>364</v>
      </c>
      <c r="B28" s="239" t="s">
        <v>363</v>
      </c>
      <c r="C28" s="209">
        <v>26530</v>
      </c>
      <c r="D28" s="209">
        <v>2025</v>
      </c>
      <c r="E28" s="228">
        <v>0</v>
      </c>
      <c r="F28" s="228">
        <v>0</v>
      </c>
      <c r="G28" s="228">
        <f>G13+G16+G20+G23</f>
        <v>8664700</v>
      </c>
    </row>
    <row r="29" spans="1:7" ht="49.5" customHeight="1">
      <c r="A29" s="217" t="s">
        <v>169</v>
      </c>
      <c r="B29" s="240" t="s">
        <v>365</v>
      </c>
      <c r="C29" s="217">
        <v>26600</v>
      </c>
      <c r="D29" s="217" t="s">
        <v>119</v>
      </c>
      <c r="E29" s="218">
        <f>E30+E31+E32</f>
        <v>30253428.69</v>
      </c>
      <c r="F29" s="218">
        <f>F30+F31+F32</f>
        <v>28529900</v>
      </c>
      <c r="G29" s="218">
        <f>G30+G31+G32</f>
        <v>28529900</v>
      </c>
    </row>
    <row r="30" spans="1:7" ht="18" customHeight="1">
      <c r="A30" s="236" t="s">
        <v>366</v>
      </c>
      <c r="B30" s="241" t="s">
        <v>363</v>
      </c>
      <c r="C30" s="236">
        <v>26610</v>
      </c>
      <c r="D30" s="236">
        <v>2023</v>
      </c>
      <c r="E30" s="237">
        <f>E14+E17+E21+E24</f>
        <v>30253428.69</v>
      </c>
      <c r="F30" s="237">
        <v>0</v>
      </c>
      <c r="G30" s="237">
        <v>0</v>
      </c>
    </row>
    <row r="31" spans="1:7" ht="19.5" customHeight="1">
      <c r="A31" s="236" t="s">
        <v>367</v>
      </c>
      <c r="B31" s="241" t="s">
        <v>363</v>
      </c>
      <c r="C31" s="236">
        <v>26620</v>
      </c>
      <c r="D31" s="209">
        <v>2024</v>
      </c>
      <c r="E31" s="237">
        <v>0</v>
      </c>
      <c r="F31" s="237">
        <f>F14+F17+F21+F24</f>
        <v>28529900</v>
      </c>
      <c r="G31" s="237">
        <v>0</v>
      </c>
    </row>
    <row r="32" spans="1:7" ht="17.25" customHeight="1">
      <c r="A32" s="209" t="s">
        <v>368</v>
      </c>
      <c r="B32" s="227" t="s">
        <v>363</v>
      </c>
      <c r="C32" s="209">
        <v>26630</v>
      </c>
      <c r="D32" s="209">
        <v>2025</v>
      </c>
      <c r="E32" s="228">
        <v>0</v>
      </c>
      <c r="F32" s="228">
        <v>0</v>
      </c>
      <c r="G32" s="228">
        <f>G14+G17+G21+G24</f>
        <v>28529900</v>
      </c>
    </row>
    <row r="33" spans="1:7" ht="12.75" customHeight="1">
      <c r="A33" s="242"/>
      <c r="B33" s="243"/>
      <c r="C33" s="244"/>
      <c r="D33" s="245"/>
      <c r="E33" s="244"/>
      <c r="F33" s="244"/>
      <c r="G33" s="244"/>
    </row>
    <row r="34" ht="18" customHeight="1">
      <c r="B34" s="246"/>
    </row>
    <row r="35" spans="2:6" ht="15.75" customHeight="1">
      <c r="B35" s="362" t="s">
        <v>403</v>
      </c>
      <c r="C35" s="362"/>
      <c r="D35" s="247"/>
      <c r="E35" s="363" t="s">
        <v>404</v>
      </c>
      <c r="F35" s="363"/>
    </row>
    <row r="36" spans="2:6" ht="15">
      <c r="B36" s="248" t="s">
        <v>76</v>
      </c>
      <c r="C36" s="249" t="s">
        <v>77</v>
      </c>
      <c r="D36" s="246"/>
      <c r="E36" s="250" t="s">
        <v>78</v>
      </c>
      <c r="F36" s="250"/>
    </row>
    <row r="37" spans="2:6" ht="15">
      <c r="B37" s="246"/>
      <c r="C37" s="246"/>
      <c r="D37" s="246"/>
      <c r="E37" s="250"/>
      <c r="F37" s="250"/>
    </row>
    <row r="38" spans="2:6" ht="15.75" customHeight="1">
      <c r="B38" s="362" t="s">
        <v>79</v>
      </c>
      <c r="C38" s="362"/>
      <c r="D38" s="247"/>
      <c r="E38" s="364" t="s">
        <v>80</v>
      </c>
      <c r="F38" s="364"/>
    </row>
    <row r="39" spans="2:6" ht="15">
      <c r="B39" s="248" t="s">
        <v>76</v>
      </c>
      <c r="C39" s="249" t="s">
        <v>77</v>
      </c>
      <c r="D39" s="246"/>
      <c r="E39" s="250" t="s">
        <v>78</v>
      </c>
      <c r="F39" s="250"/>
    </row>
    <row r="40" spans="2:6" ht="15">
      <c r="B40" s="246"/>
      <c r="C40" s="246"/>
      <c r="D40" s="246"/>
      <c r="E40" s="250"/>
      <c r="F40" s="250"/>
    </row>
    <row r="41" spans="2:6" ht="15">
      <c r="B41" s="246" t="s">
        <v>81</v>
      </c>
      <c r="C41" s="246"/>
      <c r="D41" s="246"/>
      <c r="E41" s="250"/>
      <c r="F41" s="250"/>
    </row>
    <row r="42" spans="2:6" ht="15">
      <c r="B42" s="246"/>
      <c r="C42" s="246"/>
      <c r="D42" s="246"/>
      <c r="E42" s="250"/>
      <c r="F42" s="250"/>
    </row>
    <row r="44" spans="1:4" ht="15">
      <c r="A44" s="251"/>
      <c r="B44" s="206"/>
      <c r="C44" s="206"/>
      <c r="D44" s="206"/>
    </row>
    <row r="45" spans="1:4" ht="15">
      <c r="A45" s="252"/>
      <c r="B45" s="206"/>
      <c r="C45" s="206"/>
      <c r="D45" s="206"/>
    </row>
    <row r="46" spans="1:4" ht="15">
      <c r="A46" s="252"/>
      <c r="B46" s="206"/>
      <c r="C46" s="206"/>
      <c r="D46" s="206"/>
    </row>
    <row r="47" spans="1:4" ht="15">
      <c r="A47" s="252"/>
      <c r="B47" s="206"/>
      <c r="C47" s="206"/>
      <c r="D47" s="206"/>
    </row>
    <row r="48" spans="1:4" ht="15">
      <c r="A48" s="251"/>
      <c r="B48" s="206"/>
      <c r="C48" s="206"/>
      <c r="D48" s="206"/>
    </row>
    <row r="49" spans="1:4" ht="15">
      <c r="A49" s="252"/>
      <c r="B49" s="206"/>
      <c r="C49" s="206"/>
      <c r="D49" s="206"/>
    </row>
    <row r="50" spans="1:4" ht="15">
      <c r="A50" s="206"/>
      <c r="B50" s="206"/>
      <c r="C50" s="206"/>
      <c r="D50" s="206"/>
    </row>
    <row r="51" spans="1:4" ht="15">
      <c r="A51" s="206"/>
      <c r="B51" s="206"/>
      <c r="C51" s="206"/>
      <c r="D51" s="206"/>
    </row>
    <row r="1117" ht="15"/>
    <row r="1121" ht="15"/>
  </sheetData>
  <sheetProtection selectLockedCells="1" selectUnlockedCells="1"/>
  <mergeCells count="11">
    <mergeCell ref="E4:G4"/>
    <mergeCell ref="B35:C35"/>
    <mergeCell ref="E35:F35"/>
    <mergeCell ref="B38:C38"/>
    <mergeCell ref="E38:F38"/>
    <mergeCell ref="F1:G1"/>
    <mergeCell ref="A2:G2"/>
    <mergeCell ref="A4:A5"/>
    <mergeCell ref="B4:B5"/>
    <mergeCell ref="C4:C5"/>
    <mergeCell ref="D4:D5"/>
  </mergeCells>
  <hyperlinks>
    <hyperlink ref="B7" location="P1117" display="Выплаты на закупку товаров, работ, услуг, всего"/>
    <hyperlink ref="B13" r:id="rId1" display="в том числе:                                                                                                                                                              в соответствии с Федеральным законом N 44-ФЗ"/>
    <hyperlink ref="B15" r:id="rId2" display="за счет субсидий, предоставляемых в соответствии с абзацем вторым пункта 1 статьи 78.1 Бюджетного кодекса Российской Федерации"/>
    <hyperlink ref="B16" r:id="rId3" display="в том числе:                                                                                                                                                              в соответствии с Федеральным законом N 44-ФЗ"/>
    <hyperlink ref="B18" location="P1121" display="за счет субсидий, предоставляемых на осуществление капитальных вложений"/>
    <hyperlink ref="B20" r:id="rId4" display="в том числе:                                                                                                                                                               в соответствии с Федеральным законом N 44-ФЗ"/>
    <hyperlink ref="B23" r:id="rId5" display="в том числе:                                                                                                                                                               в соответствии с Федеральным законом N 44-ФЗ"/>
    <hyperlink ref="B24" r:id="rId6" display="в соответствии с Федеральным законом N 223-ФЗ"/>
    <hyperlink ref="B29" r:id="rId7" display="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"/>
  </hyperlinks>
  <printOptions/>
  <pageMargins left="0.7875" right="0.28125" top="0.9840277777777777" bottom="0.39375" header="0.5118055555555555" footer="0.5118055555555555"/>
  <pageSetup horizontalDpi="600" verticalDpi="600" orientation="portrait" paperSize="9" scale="60" r:id="rId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55"/>
  <sheetViews>
    <sheetView zoomScalePageLayoutView="0" workbookViewId="0" topLeftCell="A19">
      <selection activeCell="B23" sqref="B23:D23"/>
    </sheetView>
  </sheetViews>
  <sheetFormatPr defaultColWidth="9.140625" defaultRowHeight="15"/>
  <cols>
    <col min="1" max="1" width="5.28125" style="0" customWidth="1"/>
    <col min="2" max="2" width="37.421875" style="0" customWidth="1"/>
    <col min="3" max="3" width="9.421875" style="0" customWidth="1"/>
    <col min="4" max="4" width="13.7109375" style="0" customWidth="1"/>
    <col min="5" max="5" width="13.8515625" style="0" customWidth="1"/>
    <col min="6" max="6" width="20.140625" style="0" customWidth="1"/>
    <col min="7" max="7" width="28.8515625" style="0" customWidth="1"/>
    <col min="8" max="8" width="19.57421875" style="0" customWidth="1"/>
  </cols>
  <sheetData>
    <row r="1" spans="1:240" s="77" customFormat="1" ht="15" customHeight="1">
      <c r="A1" s="75"/>
      <c r="B1" s="75"/>
      <c r="C1" s="75"/>
      <c r="D1" s="76"/>
      <c r="E1" s="76"/>
      <c r="G1" s="344" t="s">
        <v>91</v>
      </c>
      <c r="H1" s="344"/>
      <c r="IE1"/>
      <c r="IF1"/>
    </row>
    <row r="2" spans="1:240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E2"/>
      <c r="IF2"/>
    </row>
    <row r="3" spans="1:240" s="77" customFormat="1" ht="12.75" customHeight="1">
      <c r="A3" s="75"/>
      <c r="B3" s="75"/>
      <c r="C3" s="75"/>
      <c r="D3" s="75"/>
      <c r="E3" s="75"/>
      <c r="F3" s="75"/>
      <c r="G3" s="338"/>
      <c r="H3" s="338"/>
      <c r="IE3"/>
      <c r="IF3"/>
    </row>
    <row r="4" spans="1:240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E4"/>
      <c r="IF4"/>
    </row>
    <row r="5" spans="1:240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E5"/>
      <c r="IF5"/>
    </row>
    <row r="6" spans="1:240" s="77" customFormat="1" ht="15.75" customHeight="1">
      <c r="A6" s="338" t="s">
        <v>369</v>
      </c>
      <c r="B6" s="338"/>
      <c r="C6" s="338"/>
      <c r="D6" s="338"/>
      <c r="E6" s="338"/>
      <c r="F6" s="338"/>
      <c r="G6" s="338"/>
      <c r="H6" s="338"/>
      <c r="IE6"/>
      <c r="IF6"/>
    </row>
    <row r="7" spans="1:240" s="77" customFormat="1" ht="18.75" customHeight="1">
      <c r="A7" s="338" t="s">
        <v>94</v>
      </c>
      <c r="B7" s="338"/>
      <c r="C7" s="338"/>
      <c r="D7" s="338"/>
      <c r="E7" s="338"/>
      <c r="F7" s="338"/>
      <c r="G7" s="338"/>
      <c r="H7" s="338"/>
      <c r="IE7"/>
      <c r="IF7"/>
    </row>
    <row r="8" spans="1:240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E8"/>
      <c r="IF8"/>
    </row>
    <row r="9" spans="1:240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E9"/>
      <c r="IF9"/>
    </row>
    <row r="10" spans="1:240" s="77" customFormat="1" ht="18.75" customHeight="1">
      <c r="A10" s="325" t="s">
        <v>98</v>
      </c>
      <c r="B10" s="325"/>
      <c r="C10" s="325"/>
      <c r="D10" s="325"/>
      <c r="E10" s="325"/>
      <c r="F10" s="325"/>
      <c r="G10" s="325"/>
      <c r="H10" s="325"/>
      <c r="IE10"/>
      <c r="IF10"/>
    </row>
    <row r="11" spans="1:240" s="77" customFormat="1" ht="15.75" customHeight="1" hidden="1">
      <c r="A11" s="342"/>
      <c r="B11" s="342"/>
      <c r="C11" s="342"/>
      <c r="D11" s="342"/>
      <c r="E11" s="342"/>
      <c r="IF11"/>
    </row>
    <row r="12" spans="1:240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F12"/>
    </row>
    <row r="13" spans="1:240" s="77" customFormat="1" ht="15.75" customHeight="1">
      <c r="A13" s="80"/>
      <c r="B13" s="80"/>
      <c r="C13" s="80"/>
      <c r="D13" s="80"/>
      <c r="E13" s="80"/>
      <c r="F13" s="80"/>
      <c r="G13" s="80"/>
      <c r="H13" s="80"/>
      <c r="IF13"/>
    </row>
    <row r="14" spans="1:240" s="77" customFormat="1" ht="15.75" customHeight="1">
      <c r="A14" s="325" t="s">
        <v>386</v>
      </c>
      <c r="B14" s="325"/>
      <c r="C14" s="325"/>
      <c r="D14" s="325"/>
      <c r="E14" s="325"/>
      <c r="F14" s="325"/>
      <c r="G14" s="325"/>
      <c r="H14" s="325"/>
      <c r="IF14"/>
    </row>
    <row r="15" spans="1:240" s="77" customFormat="1" ht="15.75" customHeight="1">
      <c r="A15" s="141"/>
      <c r="B15" s="141"/>
      <c r="C15" s="141"/>
      <c r="D15" s="141"/>
      <c r="E15" s="141"/>
      <c r="F15" s="141"/>
      <c r="G15" s="141"/>
      <c r="H15" s="141"/>
      <c r="IF15"/>
    </row>
    <row r="16" spans="1:240" s="77" customFormat="1" ht="15.75" customHeight="1">
      <c r="A16" s="315" t="s">
        <v>215</v>
      </c>
      <c r="B16" s="315"/>
      <c r="C16" s="315"/>
      <c r="D16" s="315"/>
      <c r="E16" s="315"/>
      <c r="F16" s="315"/>
      <c r="G16" s="315"/>
      <c r="H16" s="315"/>
      <c r="IF16"/>
    </row>
    <row r="17" spans="1:240" s="77" customFormat="1" ht="15.75" customHeight="1">
      <c r="A17" s="317"/>
      <c r="B17" s="317"/>
      <c r="C17" s="317"/>
      <c r="D17" s="317"/>
      <c r="E17" s="317"/>
      <c r="F17" s="317"/>
      <c r="G17" s="317"/>
      <c r="H17" s="317"/>
      <c r="IF17"/>
    </row>
    <row r="18" spans="1:240" s="77" customFormat="1" ht="15.75" customHeight="1">
      <c r="A18" s="307" t="s">
        <v>387</v>
      </c>
      <c r="B18" s="307"/>
      <c r="C18" s="307"/>
      <c r="D18" s="307"/>
      <c r="E18" s="307"/>
      <c r="F18" s="307"/>
      <c r="G18" s="307"/>
      <c r="H18" s="307"/>
      <c r="IF18"/>
    </row>
    <row r="19" spans="1:240" s="77" customFormat="1" ht="15" customHeight="1">
      <c r="A19" s="369" t="s">
        <v>104</v>
      </c>
      <c r="B19" s="369" t="s">
        <v>161</v>
      </c>
      <c r="C19" s="369"/>
      <c r="D19" s="369"/>
      <c r="E19" s="369" t="s">
        <v>106</v>
      </c>
      <c r="F19" s="369"/>
      <c r="G19" s="369"/>
      <c r="H19" s="369" t="s">
        <v>107</v>
      </c>
      <c r="IF19"/>
    </row>
    <row r="20" spans="1:240" s="77" customFormat="1" ht="50.25" customHeight="1">
      <c r="A20" s="369"/>
      <c r="B20" s="369"/>
      <c r="C20" s="369"/>
      <c r="D20" s="369"/>
      <c r="E20" s="369" t="s">
        <v>108</v>
      </c>
      <c r="F20" s="369"/>
      <c r="G20" s="264" t="s">
        <v>12</v>
      </c>
      <c r="H20" s="369"/>
      <c r="IF20"/>
    </row>
    <row r="21" spans="1:240" s="77" customFormat="1" ht="39.75" customHeight="1">
      <c r="A21" s="369"/>
      <c r="B21" s="369"/>
      <c r="C21" s="369"/>
      <c r="D21" s="369"/>
      <c r="E21" s="265" t="s">
        <v>178</v>
      </c>
      <c r="F21" s="265" t="s">
        <v>112</v>
      </c>
      <c r="G21" s="265" t="s">
        <v>112</v>
      </c>
      <c r="H21" s="369"/>
      <c r="IF21"/>
    </row>
    <row r="22" spans="1:240" s="77" customFormat="1" ht="15.75" customHeight="1">
      <c r="A22" s="266">
        <v>1</v>
      </c>
      <c r="B22" s="370">
        <v>2</v>
      </c>
      <c r="C22" s="370"/>
      <c r="D22" s="370"/>
      <c r="E22" s="266">
        <v>3</v>
      </c>
      <c r="F22" s="266">
        <v>4</v>
      </c>
      <c r="G22" s="266">
        <v>5</v>
      </c>
      <c r="H22" s="266" t="s">
        <v>179</v>
      </c>
      <c r="IF22"/>
    </row>
    <row r="23" spans="1:240" s="77" customFormat="1" ht="40.5" customHeight="1">
      <c r="A23" s="266">
        <v>1</v>
      </c>
      <c r="B23" s="371" t="s">
        <v>388</v>
      </c>
      <c r="C23" s="371"/>
      <c r="D23" s="371"/>
      <c r="E23" s="266">
        <v>1</v>
      </c>
      <c r="F23" s="267">
        <f>13209150+23397100</f>
        <v>36606250</v>
      </c>
      <c r="G23" s="268"/>
      <c r="H23" s="268">
        <f>F23+G23</f>
        <v>36606250</v>
      </c>
      <c r="IF23"/>
    </row>
    <row r="24" spans="1:240" s="77" customFormat="1" ht="15.75" customHeight="1">
      <c r="A24" s="269"/>
      <c r="B24" s="372" t="s">
        <v>118</v>
      </c>
      <c r="C24" s="372"/>
      <c r="D24" s="372"/>
      <c r="E24" s="269" t="s">
        <v>119</v>
      </c>
      <c r="F24" s="270">
        <f>SUM(F23:F23)</f>
        <v>36606250</v>
      </c>
      <c r="G24" s="271">
        <f>G23</f>
        <v>0</v>
      </c>
      <c r="H24" s="268">
        <f>F24+G24</f>
        <v>36606250</v>
      </c>
      <c r="IF24"/>
    </row>
    <row r="25" spans="1:240" s="77" customFormat="1" ht="15.75" customHeight="1">
      <c r="A25" s="128"/>
      <c r="B25" s="128"/>
      <c r="C25" s="128"/>
      <c r="D25" s="128"/>
      <c r="E25" s="128"/>
      <c r="F25" s="128"/>
      <c r="G25" s="128"/>
      <c r="H25" s="128"/>
      <c r="IF25"/>
    </row>
    <row r="26" spans="1:240" s="77" customFormat="1" ht="15.75" customHeight="1">
      <c r="A26" s="82" t="s">
        <v>181</v>
      </c>
      <c r="B26" s="109"/>
      <c r="C26" s="109"/>
      <c r="D26" s="109"/>
      <c r="E26" s="110"/>
      <c r="F26" s="127">
        <f>F24</f>
        <v>36606250</v>
      </c>
      <c r="G26" s="127">
        <f>G24</f>
        <v>0</v>
      </c>
      <c r="H26" s="127">
        <f>H24</f>
        <v>36606250</v>
      </c>
      <c r="IF26"/>
    </row>
    <row r="27" spans="1:240" s="77" customFormat="1" ht="15.75" customHeight="1">
      <c r="A27" s="80"/>
      <c r="B27" s="80"/>
      <c r="C27" s="80"/>
      <c r="D27" s="80"/>
      <c r="E27" s="80"/>
      <c r="F27" s="80"/>
      <c r="G27" s="80"/>
      <c r="H27" s="80"/>
      <c r="IF27"/>
    </row>
    <row r="28" spans="1:7" ht="18.75" customHeight="1">
      <c r="A28" s="166"/>
      <c r="B28" s="306" t="s">
        <v>182</v>
      </c>
      <c r="C28" s="306"/>
      <c r="D28" s="306"/>
      <c r="E28" s="306"/>
      <c r="F28" s="306"/>
      <c r="G28" s="306"/>
    </row>
    <row r="29" spans="1:6" ht="12.75" customHeight="1">
      <c r="A29" s="166"/>
      <c r="B29" s="167"/>
      <c r="C29" s="167"/>
      <c r="D29" s="167"/>
      <c r="E29" s="166"/>
      <c r="F29" s="168"/>
    </row>
    <row r="30" spans="1:8" ht="18.75" customHeight="1">
      <c r="A30" s="315" t="s">
        <v>234</v>
      </c>
      <c r="B30" s="315"/>
      <c r="C30" s="315"/>
      <c r="D30" s="315"/>
      <c r="E30" s="315"/>
      <c r="F30" s="315"/>
      <c r="G30" s="315"/>
      <c r="H30" s="315"/>
    </row>
    <row r="31" spans="1:8" ht="15.75" customHeight="1">
      <c r="A31" s="317"/>
      <c r="B31" s="317"/>
      <c r="C31" s="317"/>
      <c r="D31" s="317"/>
      <c r="E31" s="317"/>
      <c r="F31" s="317"/>
      <c r="G31" s="317"/>
      <c r="H31" s="317"/>
    </row>
    <row r="32" spans="1:8" ht="18.75" customHeight="1">
      <c r="A32" s="307" t="s">
        <v>235</v>
      </c>
      <c r="B32" s="307"/>
      <c r="C32" s="307"/>
      <c r="D32" s="307"/>
      <c r="E32" s="307"/>
      <c r="F32" s="307"/>
      <c r="G32" s="307"/>
      <c r="H32" s="307"/>
    </row>
    <row r="33" spans="1:8" ht="15" customHeight="1">
      <c r="A33" s="301" t="s">
        <v>104</v>
      </c>
      <c r="B33" s="302" t="s">
        <v>161</v>
      </c>
      <c r="C33" s="302"/>
      <c r="D33" s="302"/>
      <c r="E33" s="301" t="s">
        <v>106</v>
      </c>
      <c r="F33" s="301"/>
      <c r="G33" s="301"/>
      <c r="H33" s="302" t="s">
        <v>107</v>
      </c>
    </row>
    <row r="34" spans="1:8" ht="51" customHeight="1">
      <c r="A34" s="301"/>
      <c r="B34" s="302"/>
      <c r="C34" s="302"/>
      <c r="D34" s="302"/>
      <c r="E34" s="301" t="s">
        <v>108</v>
      </c>
      <c r="F34" s="301"/>
      <c r="G34" s="132" t="s">
        <v>12</v>
      </c>
      <c r="H34" s="302"/>
    </row>
    <row r="35" spans="1:8" ht="30">
      <c r="A35" s="301"/>
      <c r="B35" s="302"/>
      <c r="C35" s="302"/>
      <c r="D35" s="302"/>
      <c r="E35" s="87" t="s">
        <v>178</v>
      </c>
      <c r="F35" s="87" t="s">
        <v>112</v>
      </c>
      <c r="G35" s="100" t="s">
        <v>112</v>
      </c>
      <c r="H35" s="302"/>
    </row>
    <row r="36" spans="1:8" ht="15.75" customHeight="1">
      <c r="A36" s="91">
        <v>1</v>
      </c>
      <c r="B36" s="303">
        <v>2</v>
      </c>
      <c r="C36" s="303"/>
      <c r="D36" s="303"/>
      <c r="E36" s="91">
        <v>3</v>
      </c>
      <c r="F36" s="91">
        <v>4</v>
      </c>
      <c r="G36" s="91">
        <v>5</v>
      </c>
      <c r="H36" s="91" t="s">
        <v>179</v>
      </c>
    </row>
    <row r="37" spans="1:8" ht="17.25" customHeight="1">
      <c r="A37" s="91">
        <v>1</v>
      </c>
      <c r="B37" s="310" t="s">
        <v>240</v>
      </c>
      <c r="C37" s="310"/>
      <c r="D37" s="310"/>
      <c r="E37" s="91">
        <v>8</v>
      </c>
      <c r="F37" s="121">
        <f>28200+13800</f>
        <v>42000</v>
      </c>
      <c r="G37" s="142"/>
      <c r="H37" s="142">
        <f>F37+G37</f>
        <v>42000</v>
      </c>
    </row>
    <row r="38" spans="1:8" ht="15.75" customHeight="1">
      <c r="A38" s="105"/>
      <c r="B38" s="296" t="s">
        <v>118</v>
      </c>
      <c r="C38" s="296"/>
      <c r="D38" s="296"/>
      <c r="E38" s="105" t="s">
        <v>119</v>
      </c>
      <c r="F38" s="137">
        <f>SUM(F37:F37)</f>
        <v>42000</v>
      </c>
      <c r="G38" s="137">
        <f>SUM(G37:G37)</f>
        <v>0</v>
      </c>
      <c r="H38" s="137">
        <f>SUM(H37:H37)</f>
        <v>42000</v>
      </c>
    </row>
    <row r="39" spans="1:8" ht="15.75" customHeight="1">
      <c r="A39" s="113"/>
      <c r="B39" s="138"/>
      <c r="C39" s="138"/>
      <c r="D39" s="138"/>
      <c r="E39" s="113"/>
      <c r="F39" s="139"/>
      <c r="G39" s="139"/>
      <c r="H39" s="139"/>
    </row>
    <row r="40" spans="1:8" ht="18.75" customHeight="1">
      <c r="A40" s="82" t="s">
        <v>181</v>
      </c>
      <c r="B40" s="109"/>
      <c r="C40" s="109"/>
      <c r="D40" s="109"/>
      <c r="E40" s="110"/>
      <c r="F40" s="127">
        <f>F38</f>
        <v>42000</v>
      </c>
      <c r="G40" s="127">
        <f>G38</f>
        <v>0</v>
      </c>
      <c r="H40" s="127">
        <f>H38</f>
        <v>42000</v>
      </c>
    </row>
    <row r="41" spans="1:8" ht="18.75" customHeight="1">
      <c r="A41" s="82"/>
      <c r="B41" s="109"/>
      <c r="C41" s="109"/>
      <c r="D41" s="109"/>
      <c r="E41" s="110"/>
      <c r="F41" s="127"/>
      <c r="G41" s="127"/>
      <c r="H41" s="127"/>
    </row>
    <row r="42" spans="1:8" s="77" customFormat="1" ht="18.75" customHeight="1">
      <c r="A42" s="141"/>
      <c r="B42" s="297" t="s">
        <v>301</v>
      </c>
      <c r="C42" s="297"/>
      <c r="D42" s="297"/>
      <c r="E42" s="110"/>
      <c r="F42" s="127">
        <f>F26+F40</f>
        <v>36648250</v>
      </c>
      <c r="G42" s="127">
        <f>G26+G40</f>
        <v>0</v>
      </c>
      <c r="H42" s="127">
        <f>H26+H40</f>
        <v>36648250</v>
      </c>
    </row>
    <row r="43" spans="1:8" s="77" customFormat="1" ht="18.75" customHeight="1">
      <c r="A43" s="141"/>
      <c r="B43" s="141"/>
      <c r="C43" s="141"/>
      <c r="D43" s="141"/>
      <c r="E43" s="110"/>
      <c r="F43" s="110"/>
      <c r="G43" s="110"/>
      <c r="H43" s="110"/>
    </row>
    <row r="44" s="77" customFormat="1" ht="18.75" customHeight="1"/>
    <row r="45" spans="1:8" s="77" customFormat="1" ht="18.75" customHeight="1">
      <c r="A45" s="141"/>
      <c r="B45" s="141"/>
      <c r="C45" s="141"/>
      <c r="D45" s="141"/>
      <c r="E45" s="110"/>
      <c r="F45" s="110"/>
      <c r="G45" s="110"/>
      <c r="H45" s="110"/>
    </row>
    <row r="46" spans="1:8" s="77" customFormat="1" ht="18.75" customHeight="1">
      <c r="A46" s="141"/>
      <c r="B46" s="141"/>
      <c r="C46" s="141"/>
      <c r="D46" s="141"/>
      <c r="E46" s="110"/>
      <c r="F46" s="110"/>
      <c r="G46" s="110"/>
      <c r="H46" s="110"/>
    </row>
    <row r="47" spans="1:8" s="77" customFormat="1" ht="42.75" customHeight="1">
      <c r="A47" s="141"/>
      <c r="B47" s="141"/>
      <c r="C47" s="141"/>
      <c r="D47" s="141"/>
      <c r="E47" s="110"/>
      <c r="F47" s="110"/>
      <c r="G47" s="110"/>
      <c r="H47" s="110"/>
    </row>
    <row r="48" spans="1:8" s="77" customFormat="1" ht="18.75" customHeight="1">
      <c r="A48" s="291" t="s">
        <v>403</v>
      </c>
      <c r="B48" s="291"/>
      <c r="C48" s="179"/>
      <c r="D48" s="179"/>
      <c r="E48" s="180"/>
      <c r="F48" s="181"/>
      <c r="G48" s="298" t="s">
        <v>404</v>
      </c>
      <c r="H48" s="298"/>
    </row>
    <row r="49" spans="1:8" s="77" customFormat="1" ht="18.75" customHeight="1">
      <c r="A49" s="293" t="s">
        <v>302</v>
      </c>
      <c r="B49" s="293"/>
      <c r="E49" s="77" t="s">
        <v>77</v>
      </c>
      <c r="F49" s="182"/>
      <c r="G49" s="299" t="s">
        <v>78</v>
      </c>
      <c r="H49" s="299"/>
    </row>
    <row r="50" spans="1:7" s="77" customFormat="1" ht="18.75">
      <c r="A50" s="183"/>
      <c r="G50" s="184"/>
    </row>
    <row r="51" spans="1:8" s="77" customFormat="1" ht="18.75" customHeight="1">
      <c r="A51" s="291" t="s">
        <v>79</v>
      </c>
      <c r="B51" s="291"/>
      <c r="C51" s="179"/>
      <c r="D51" s="179"/>
      <c r="E51" s="180"/>
      <c r="F51" s="181"/>
      <c r="G51" s="292" t="s">
        <v>80</v>
      </c>
      <c r="H51" s="292"/>
    </row>
    <row r="52" spans="1:8" s="77" customFormat="1" ht="18.75" customHeight="1">
      <c r="A52" s="293" t="s">
        <v>302</v>
      </c>
      <c r="B52" s="293"/>
      <c r="E52" s="77" t="s">
        <v>77</v>
      </c>
      <c r="F52" s="182"/>
      <c r="G52" s="294" t="s">
        <v>78</v>
      </c>
      <c r="H52" s="294"/>
    </row>
    <row r="53" s="77" customFormat="1" ht="18.75"/>
    <row r="54" s="77" customFormat="1" ht="18.75"/>
    <row r="55" spans="1:12" s="77" customFormat="1" ht="39.75" customHeight="1">
      <c r="A55" s="295"/>
      <c r="B55" s="295"/>
      <c r="C55" s="295"/>
      <c r="D55" s="295"/>
      <c r="E55" s="295"/>
      <c r="F55" s="295"/>
      <c r="G55" s="295"/>
      <c r="H55" s="295"/>
      <c r="L55" s="185"/>
    </row>
    <row r="59" ht="15.75" customHeight="1"/>
    <row r="60" ht="15.75" customHeight="1"/>
    <row r="65" ht="15.75" customHeight="1"/>
    <row r="66" ht="15.75" customHeight="1"/>
    <row r="67" ht="15.75" customHeight="1"/>
    <row r="72" ht="15.75" customHeight="1"/>
    <row r="77" ht="15.75" customHeight="1"/>
  </sheetData>
  <sheetProtection selectLockedCells="1" selectUnlockedCells="1"/>
  <mergeCells count="46"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31:H31"/>
    <mergeCell ref="A32:H32"/>
    <mergeCell ref="A33:A35"/>
    <mergeCell ref="B33:D35"/>
    <mergeCell ref="E33:G33"/>
    <mergeCell ref="H33:H35"/>
    <mergeCell ref="E34:F34"/>
    <mergeCell ref="A14:H14"/>
    <mergeCell ref="A16:H16"/>
    <mergeCell ref="A17:H17"/>
    <mergeCell ref="A18:H18"/>
    <mergeCell ref="B28:G28"/>
    <mergeCell ref="A30:H30"/>
    <mergeCell ref="B23:D23"/>
    <mergeCell ref="B24:D24"/>
    <mergeCell ref="A19:A21"/>
    <mergeCell ref="B19:D21"/>
    <mergeCell ref="G52:H52"/>
    <mergeCell ref="B36:D36"/>
    <mergeCell ref="B37:D37"/>
    <mergeCell ref="B38:D38"/>
    <mergeCell ref="B42:D42"/>
    <mergeCell ref="A48:B48"/>
    <mergeCell ref="G48:H48"/>
    <mergeCell ref="E19:G19"/>
    <mergeCell ref="H19:H21"/>
    <mergeCell ref="E20:F20"/>
    <mergeCell ref="B22:D22"/>
    <mergeCell ref="A55:H55"/>
    <mergeCell ref="A49:B49"/>
    <mergeCell ref="G49:H49"/>
    <mergeCell ref="A51:B51"/>
    <mergeCell ref="G51:H51"/>
    <mergeCell ref="A52:B52"/>
  </mergeCells>
  <printOptions/>
  <pageMargins left="0.9840277777777777" right="0.39375" top="0.39375" bottom="0.39375" header="0.5118055555555555" footer="0.5118055555555555"/>
  <pageSetup fitToHeight="10" fitToWidth="1" horizontalDpi="600" verticalDpi="600" orientation="portrait" paperSize="9" scale="5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3"/>
  <sheetViews>
    <sheetView zoomScalePageLayoutView="0" workbookViewId="0" topLeftCell="A1">
      <selection activeCell="B31" sqref="B31:D31"/>
    </sheetView>
  </sheetViews>
  <sheetFormatPr defaultColWidth="9.140625" defaultRowHeight="15"/>
  <cols>
    <col min="1" max="1" width="5.28125" style="0" customWidth="1"/>
    <col min="2" max="2" width="37.421875" style="0" customWidth="1"/>
    <col min="3" max="3" width="9.421875" style="0" customWidth="1"/>
    <col min="4" max="4" width="13.7109375" style="0" customWidth="1"/>
    <col min="5" max="5" width="13.8515625" style="0" customWidth="1"/>
    <col min="6" max="6" width="20.140625" style="0" customWidth="1"/>
    <col min="7" max="7" width="28.8515625" style="0" customWidth="1"/>
    <col min="8" max="8" width="19.57421875" style="0" customWidth="1"/>
    <col min="13" max="13" width="9.421875" style="0" customWidth="1"/>
  </cols>
  <sheetData>
    <row r="1" spans="1:248" s="77" customFormat="1" ht="15" customHeight="1">
      <c r="A1" s="75"/>
      <c r="B1" s="75"/>
      <c r="C1" s="75"/>
      <c r="D1" s="76"/>
      <c r="E1" s="76"/>
      <c r="G1" s="344" t="s">
        <v>91</v>
      </c>
      <c r="H1" s="344"/>
      <c r="IM1"/>
      <c r="IN1"/>
    </row>
    <row r="2" spans="1:248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M2"/>
      <c r="IN2"/>
    </row>
    <row r="3" spans="1:248" s="77" customFormat="1" ht="12.75" customHeight="1">
      <c r="A3" s="75"/>
      <c r="B3" s="75"/>
      <c r="C3" s="75"/>
      <c r="D3" s="75"/>
      <c r="E3" s="75"/>
      <c r="F3" s="75"/>
      <c r="G3" s="338"/>
      <c r="H3" s="338"/>
      <c r="IM3"/>
      <c r="IN3"/>
    </row>
    <row r="4" spans="1:248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M4"/>
      <c r="IN4"/>
    </row>
    <row r="5" spans="1:248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M5"/>
      <c r="IN5"/>
    </row>
    <row r="6" spans="1:248" s="77" customFormat="1" ht="15.75" customHeight="1">
      <c r="A6" s="338" t="s">
        <v>369</v>
      </c>
      <c r="B6" s="338"/>
      <c r="C6" s="338"/>
      <c r="D6" s="338"/>
      <c r="E6" s="338"/>
      <c r="F6" s="338"/>
      <c r="G6" s="338"/>
      <c r="H6" s="338"/>
      <c r="IM6"/>
      <c r="IN6"/>
    </row>
    <row r="7" spans="1:248" s="77" customFormat="1" ht="18.75" customHeight="1">
      <c r="A7" s="338" t="s">
        <v>94</v>
      </c>
      <c r="B7" s="338"/>
      <c r="C7" s="338"/>
      <c r="D7" s="338"/>
      <c r="E7" s="338"/>
      <c r="F7" s="338"/>
      <c r="G7" s="338"/>
      <c r="H7" s="338"/>
      <c r="IM7"/>
      <c r="IN7"/>
    </row>
    <row r="8" spans="1:248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M8"/>
      <c r="IN8"/>
    </row>
    <row r="9" spans="1:248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M9"/>
      <c r="IN9"/>
    </row>
    <row r="10" spans="1:248" s="77" customFormat="1" ht="18.75" customHeight="1">
      <c r="A10" s="325" t="s">
        <v>303</v>
      </c>
      <c r="B10" s="325"/>
      <c r="C10" s="325"/>
      <c r="D10" s="325"/>
      <c r="E10" s="325"/>
      <c r="F10" s="325"/>
      <c r="G10" s="325"/>
      <c r="H10" s="325"/>
      <c r="IM10"/>
      <c r="IN10"/>
    </row>
    <row r="11" spans="1:248" s="77" customFormat="1" ht="15.75" customHeight="1" hidden="1">
      <c r="A11" s="342"/>
      <c r="B11" s="342"/>
      <c r="C11" s="342"/>
      <c r="D11" s="342"/>
      <c r="E11" s="342"/>
      <c r="IN11"/>
    </row>
    <row r="12" spans="1:248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N12"/>
    </row>
    <row r="13" spans="1:248" s="77" customFormat="1" ht="19.5" customHeight="1">
      <c r="A13" s="338"/>
      <c r="B13" s="338"/>
      <c r="C13" s="338"/>
      <c r="D13" s="338"/>
      <c r="E13" s="338"/>
      <c r="IN13"/>
    </row>
    <row r="14" spans="1:7" ht="18.75" customHeight="1">
      <c r="A14" s="166"/>
      <c r="B14" s="306" t="s">
        <v>182</v>
      </c>
      <c r="C14" s="306"/>
      <c r="D14" s="306"/>
      <c r="E14" s="306"/>
      <c r="F14" s="306"/>
      <c r="G14" s="306"/>
    </row>
    <row r="15" spans="1:6" ht="8.25" customHeight="1">
      <c r="A15" s="166"/>
      <c r="B15" s="167"/>
      <c r="C15" s="167"/>
      <c r="D15" s="167"/>
      <c r="E15" s="166"/>
      <c r="F15" s="168"/>
    </row>
    <row r="16" spans="1:8" ht="18.75" customHeight="1">
      <c r="A16" s="315" t="s">
        <v>234</v>
      </c>
      <c r="B16" s="315"/>
      <c r="C16" s="315"/>
      <c r="D16" s="315"/>
      <c r="E16" s="315"/>
      <c r="F16" s="315"/>
      <c r="G16" s="315"/>
      <c r="H16" s="315"/>
    </row>
    <row r="17" spans="1:8" ht="15.75" customHeight="1">
      <c r="A17" s="317"/>
      <c r="B17" s="317"/>
      <c r="C17" s="317"/>
      <c r="D17" s="317"/>
      <c r="E17" s="317"/>
      <c r="F17" s="317"/>
      <c r="G17" s="317"/>
      <c r="H17" s="317"/>
    </row>
    <row r="18" spans="1:8" ht="18.75" customHeight="1">
      <c r="A18" s="307" t="s">
        <v>235</v>
      </c>
      <c r="B18" s="307"/>
      <c r="C18" s="307"/>
      <c r="D18" s="307"/>
      <c r="E18" s="307"/>
      <c r="F18" s="307"/>
      <c r="G18" s="307"/>
      <c r="H18" s="307"/>
    </row>
    <row r="19" spans="1:8" ht="15" customHeight="1">
      <c r="A19" s="301" t="s">
        <v>104</v>
      </c>
      <c r="B19" s="302" t="s">
        <v>161</v>
      </c>
      <c r="C19" s="302"/>
      <c r="D19" s="302"/>
      <c r="E19" s="301" t="s">
        <v>106</v>
      </c>
      <c r="F19" s="301"/>
      <c r="G19" s="301"/>
      <c r="H19" s="302" t="s">
        <v>107</v>
      </c>
    </row>
    <row r="20" spans="1:8" ht="51" customHeight="1">
      <c r="A20" s="301"/>
      <c r="B20" s="302"/>
      <c r="C20" s="302"/>
      <c r="D20" s="302"/>
      <c r="E20" s="301" t="s">
        <v>108</v>
      </c>
      <c r="F20" s="301"/>
      <c r="G20" s="132" t="s">
        <v>12</v>
      </c>
      <c r="H20" s="302"/>
    </row>
    <row r="21" spans="1:8" ht="30">
      <c r="A21" s="301"/>
      <c r="B21" s="302"/>
      <c r="C21" s="302"/>
      <c r="D21" s="302"/>
      <c r="E21" s="87" t="s">
        <v>178</v>
      </c>
      <c r="F21" s="87" t="s">
        <v>112</v>
      </c>
      <c r="G21" s="100" t="s">
        <v>112</v>
      </c>
      <c r="H21" s="302"/>
    </row>
    <row r="22" spans="1:8" ht="15.75" customHeight="1">
      <c r="A22" s="91">
        <v>1</v>
      </c>
      <c r="B22" s="303">
        <v>2</v>
      </c>
      <c r="C22" s="303"/>
      <c r="D22" s="303"/>
      <c r="E22" s="91">
        <v>3</v>
      </c>
      <c r="F22" s="91">
        <v>4</v>
      </c>
      <c r="G22" s="91">
        <v>5</v>
      </c>
      <c r="H22" s="91" t="s">
        <v>179</v>
      </c>
    </row>
    <row r="23" spans="1:8" ht="17.25" customHeight="1">
      <c r="A23" s="91">
        <v>1</v>
      </c>
      <c r="B23" s="310" t="s">
        <v>240</v>
      </c>
      <c r="C23" s="310"/>
      <c r="D23" s="310"/>
      <c r="E23" s="91">
        <v>12</v>
      </c>
      <c r="F23" s="121">
        <v>30000</v>
      </c>
      <c r="G23" s="142"/>
      <c r="H23" s="142">
        <f>F23+G23</f>
        <v>30000</v>
      </c>
    </row>
    <row r="24" spans="1:8" ht="15.75" customHeight="1">
      <c r="A24" s="105"/>
      <c r="B24" s="296" t="s">
        <v>118</v>
      </c>
      <c r="C24" s="296"/>
      <c r="D24" s="296"/>
      <c r="E24" s="105" t="s">
        <v>119</v>
      </c>
      <c r="F24" s="137">
        <f>SUM(F23:F23)</f>
        <v>30000</v>
      </c>
      <c r="G24" s="137">
        <f>SUM(G23:G23)</f>
        <v>0</v>
      </c>
      <c r="H24" s="137">
        <f>SUM(H23:H23)</f>
        <v>30000</v>
      </c>
    </row>
    <row r="25" spans="1:6" ht="15.75">
      <c r="A25" s="166"/>
      <c r="B25" s="167"/>
      <c r="C25" s="167"/>
      <c r="D25" s="167"/>
      <c r="E25" s="166"/>
      <c r="F25" s="168"/>
    </row>
    <row r="26" spans="1:8" ht="18.75">
      <c r="A26" s="307" t="s">
        <v>252</v>
      </c>
      <c r="B26" s="307"/>
      <c r="C26" s="307"/>
      <c r="D26" s="307"/>
      <c r="E26" s="307"/>
      <c r="F26" s="307"/>
      <c r="G26" s="307"/>
      <c r="H26" s="307"/>
    </row>
    <row r="27" spans="1:8" ht="15">
      <c r="A27" s="301" t="s">
        <v>104</v>
      </c>
      <c r="B27" s="302" t="s">
        <v>161</v>
      </c>
      <c r="C27" s="302"/>
      <c r="D27" s="302"/>
      <c r="E27" s="301" t="s">
        <v>106</v>
      </c>
      <c r="F27" s="301"/>
      <c r="G27" s="301"/>
      <c r="H27" s="302" t="s">
        <v>107</v>
      </c>
    </row>
    <row r="28" spans="1:8" ht="51">
      <c r="A28" s="301"/>
      <c r="B28" s="302"/>
      <c r="C28" s="302"/>
      <c r="D28" s="302"/>
      <c r="E28" s="301" t="s">
        <v>108</v>
      </c>
      <c r="F28" s="301"/>
      <c r="G28" s="132" t="s">
        <v>12</v>
      </c>
      <c r="H28" s="302"/>
    </row>
    <row r="29" spans="1:8" ht="30">
      <c r="A29" s="301"/>
      <c r="B29" s="302"/>
      <c r="C29" s="302"/>
      <c r="D29" s="302"/>
      <c r="E29" s="87" t="s">
        <v>178</v>
      </c>
      <c r="F29" s="87" t="s">
        <v>112</v>
      </c>
      <c r="G29" s="100" t="s">
        <v>112</v>
      </c>
      <c r="H29" s="302"/>
    </row>
    <row r="30" spans="1:8" ht="15.75">
      <c r="A30" s="91">
        <v>1</v>
      </c>
      <c r="B30" s="303">
        <v>2</v>
      </c>
      <c r="C30" s="303"/>
      <c r="D30" s="303"/>
      <c r="E30" s="91">
        <v>3</v>
      </c>
      <c r="F30" s="91">
        <v>4</v>
      </c>
      <c r="G30" s="91">
        <v>5</v>
      </c>
      <c r="H30" s="91" t="s">
        <v>179</v>
      </c>
    </row>
    <row r="31" spans="1:8" ht="40.5" customHeight="1">
      <c r="A31" s="91">
        <v>1</v>
      </c>
      <c r="B31" s="310" t="s">
        <v>405</v>
      </c>
      <c r="C31" s="310"/>
      <c r="D31" s="310"/>
      <c r="E31" s="91">
        <v>1</v>
      </c>
      <c r="F31" s="121">
        <v>3335600</v>
      </c>
      <c r="G31" s="142"/>
      <c r="H31" s="142">
        <f>F31+G31</f>
        <v>3335600</v>
      </c>
    </row>
    <row r="32" spans="1:8" ht="15.75">
      <c r="A32" s="105"/>
      <c r="B32" s="296" t="s">
        <v>118</v>
      </c>
      <c r="C32" s="296"/>
      <c r="D32" s="296"/>
      <c r="E32" s="105" t="s">
        <v>119</v>
      </c>
      <c r="F32" s="137">
        <f>SUM(F31:F31)</f>
        <v>3335600</v>
      </c>
      <c r="G32" s="137">
        <f>SUM(G31:G31)</f>
        <v>0</v>
      </c>
      <c r="H32" s="137">
        <f>SUM(H31:H31)</f>
        <v>3335600</v>
      </c>
    </row>
    <row r="33" spans="1:6" ht="15.75">
      <c r="A33" s="166"/>
      <c r="B33" s="167"/>
      <c r="C33" s="167"/>
      <c r="D33" s="167"/>
      <c r="E33" s="166"/>
      <c r="F33" s="168"/>
    </row>
    <row r="34" spans="1:8" s="77" customFormat="1" ht="18.75" customHeight="1">
      <c r="A34" s="141"/>
      <c r="B34" s="297" t="s">
        <v>301</v>
      </c>
      <c r="C34" s="297"/>
      <c r="D34" s="297"/>
      <c r="E34" s="110"/>
      <c r="F34" s="127">
        <f>F24</f>
        <v>30000</v>
      </c>
      <c r="G34" s="127">
        <f>G24</f>
        <v>0</v>
      </c>
      <c r="H34" s="127">
        <f>H24+H32</f>
        <v>3365600</v>
      </c>
    </row>
    <row r="35" spans="1:8" s="77" customFormat="1" ht="42.75" customHeight="1">
      <c r="A35" s="141"/>
      <c r="B35" s="141"/>
      <c r="C35" s="141"/>
      <c r="D35" s="141"/>
      <c r="E35" s="110"/>
      <c r="F35" s="110"/>
      <c r="G35" s="110"/>
      <c r="H35" s="110"/>
    </row>
    <row r="36" spans="1:8" s="77" customFormat="1" ht="18.75" customHeight="1">
      <c r="A36" s="291" t="s">
        <v>403</v>
      </c>
      <c r="B36" s="291"/>
      <c r="C36" s="179"/>
      <c r="D36" s="179"/>
      <c r="E36" s="180"/>
      <c r="F36" s="181"/>
      <c r="G36" s="298" t="s">
        <v>404</v>
      </c>
      <c r="H36" s="298"/>
    </row>
    <row r="37" spans="1:8" s="77" customFormat="1" ht="18.75" customHeight="1">
      <c r="A37" s="293" t="s">
        <v>302</v>
      </c>
      <c r="B37" s="293"/>
      <c r="E37" s="77" t="s">
        <v>77</v>
      </c>
      <c r="F37" s="182"/>
      <c r="G37" s="299" t="s">
        <v>78</v>
      </c>
      <c r="H37" s="299"/>
    </row>
    <row r="38" spans="1:7" s="77" customFormat="1" ht="18.75">
      <c r="A38" s="183"/>
      <c r="G38" s="184"/>
    </row>
    <row r="39" spans="1:8" s="77" customFormat="1" ht="18.75" customHeight="1">
      <c r="A39" s="291" t="s">
        <v>79</v>
      </c>
      <c r="B39" s="291"/>
      <c r="C39" s="179"/>
      <c r="D39" s="179"/>
      <c r="E39" s="180"/>
      <c r="F39" s="181"/>
      <c r="G39" s="292" t="s">
        <v>80</v>
      </c>
      <c r="H39" s="292"/>
    </row>
    <row r="40" spans="1:8" s="77" customFormat="1" ht="18.75" customHeight="1">
      <c r="A40" s="293" t="s">
        <v>302</v>
      </c>
      <c r="B40" s="293"/>
      <c r="E40" s="77" t="s">
        <v>77</v>
      </c>
      <c r="F40" s="182"/>
      <c r="G40" s="294" t="s">
        <v>78</v>
      </c>
      <c r="H40" s="294"/>
    </row>
    <row r="41" s="77" customFormat="1" ht="18.75"/>
    <row r="42" s="77" customFormat="1" ht="18.75"/>
    <row r="43" spans="1:12" s="77" customFormat="1" ht="39.75" customHeight="1">
      <c r="A43" s="295"/>
      <c r="B43" s="295"/>
      <c r="C43" s="295"/>
      <c r="D43" s="295"/>
      <c r="E43" s="295"/>
      <c r="F43" s="295"/>
      <c r="G43" s="295"/>
      <c r="H43" s="295"/>
      <c r="L43" s="185"/>
    </row>
  </sheetData>
  <sheetProtection selectLockedCells="1" selectUnlockedCells="1"/>
  <mergeCells count="44">
    <mergeCell ref="E28:F28"/>
    <mergeCell ref="B30:D30"/>
    <mergeCell ref="B31:D31"/>
    <mergeCell ref="B32:D32"/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13:E13"/>
    <mergeCell ref="B14:G14"/>
    <mergeCell ref="A16:H16"/>
    <mergeCell ref="A17:H17"/>
    <mergeCell ref="A18:H18"/>
    <mergeCell ref="A19:A21"/>
    <mergeCell ref="B19:D21"/>
    <mergeCell ref="E19:G19"/>
    <mergeCell ref="H19:H21"/>
    <mergeCell ref="E20:F20"/>
    <mergeCell ref="B22:D22"/>
    <mergeCell ref="B23:D23"/>
    <mergeCell ref="B24:D24"/>
    <mergeCell ref="B34:D34"/>
    <mergeCell ref="A36:B36"/>
    <mergeCell ref="G36:H36"/>
    <mergeCell ref="A26:H26"/>
    <mergeCell ref="A27:A29"/>
    <mergeCell ref="B27:D29"/>
    <mergeCell ref="E27:G27"/>
    <mergeCell ref="H27:H29"/>
    <mergeCell ref="A43:H43"/>
    <mergeCell ref="A37:B37"/>
    <mergeCell ref="G37:H37"/>
    <mergeCell ref="A39:B39"/>
    <mergeCell ref="G39:H39"/>
    <mergeCell ref="A40:B40"/>
    <mergeCell ref="G40:H40"/>
  </mergeCells>
  <printOptions/>
  <pageMargins left="1.1020833333333333" right="0.31527777777777777" top="0.7479166666666667" bottom="0.7479166666666667" header="0.5118055555555555" footer="0.5118055555555555"/>
  <pageSetup fitToHeight="1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4">
      <selection activeCell="J29" sqref="J29"/>
    </sheetView>
  </sheetViews>
  <sheetFormatPr defaultColWidth="9.140625" defaultRowHeight="15"/>
  <cols>
    <col min="1" max="1" width="5.28125" style="0" customWidth="1"/>
    <col min="2" max="2" width="37.421875" style="0" customWidth="1"/>
    <col min="3" max="3" width="9.421875" style="0" customWidth="1"/>
    <col min="4" max="4" width="13.7109375" style="0" customWidth="1"/>
    <col min="5" max="5" width="13.8515625" style="0" customWidth="1"/>
    <col min="6" max="6" width="20.140625" style="0" customWidth="1"/>
    <col min="7" max="7" width="28.8515625" style="0" customWidth="1"/>
    <col min="8" max="8" width="19.57421875" style="0" customWidth="1"/>
  </cols>
  <sheetData>
    <row r="1" spans="1:256" s="77" customFormat="1" ht="15" customHeight="1">
      <c r="A1" s="75"/>
      <c r="B1" s="75"/>
      <c r="C1" s="75"/>
      <c r="D1" s="76"/>
      <c r="E1" s="76"/>
      <c r="G1" s="344" t="s">
        <v>91</v>
      </c>
      <c r="H1" s="344"/>
      <c r="IU1"/>
      <c r="IV1"/>
    </row>
    <row r="2" spans="1:256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U2"/>
      <c r="IV2"/>
    </row>
    <row r="3" spans="1:256" s="77" customFormat="1" ht="12.75" customHeight="1">
      <c r="A3" s="75"/>
      <c r="B3" s="75"/>
      <c r="C3" s="75"/>
      <c r="D3" s="75"/>
      <c r="E3" s="75"/>
      <c r="F3" s="75"/>
      <c r="G3" s="338"/>
      <c r="H3" s="338"/>
      <c r="IU3"/>
      <c r="IV3"/>
    </row>
    <row r="4" spans="1:256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U4"/>
      <c r="IV4"/>
    </row>
    <row r="5" spans="1:256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U5"/>
      <c r="IV5"/>
    </row>
    <row r="6" spans="1:256" s="77" customFormat="1" ht="15.75" customHeight="1">
      <c r="A6" s="338" t="s">
        <v>369</v>
      </c>
      <c r="B6" s="338"/>
      <c r="C6" s="338"/>
      <c r="D6" s="338"/>
      <c r="E6" s="338"/>
      <c r="F6" s="338"/>
      <c r="G6" s="338"/>
      <c r="H6" s="338"/>
      <c r="IU6"/>
      <c r="IV6"/>
    </row>
    <row r="7" spans="1:256" s="77" customFormat="1" ht="18.75" customHeight="1">
      <c r="A7" s="338" t="s">
        <v>94</v>
      </c>
      <c r="B7" s="338"/>
      <c r="C7" s="338"/>
      <c r="D7" s="338"/>
      <c r="E7" s="338"/>
      <c r="F7" s="338"/>
      <c r="G7" s="338"/>
      <c r="H7" s="338"/>
      <c r="IU7"/>
      <c r="IV7"/>
    </row>
    <row r="8" spans="1:256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U8"/>
      <c r="IV8"/>
    </row>
    <row r="9" spans="1:256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U9"/>
      <c r="IV9"/>
    </row>
    <row r="10" spans="1:256" s="77" customFormat="1" ht="18.75" customHeight="1">
      <c r="A10" s="325" t="s">
        <v>304</v>
      </c>
      <c r="B10" s="325"/>
      <c r="C10" s="325"/>
      <c r="D10" s="325"/>
      <c r="E10" s="325"/>
      <c r="F10" s="325"/>
      <c r="G10" s="325"/>
      <c r="H10" s="325"/>
      <c r="IU10"/>
      <c r="IV10"/>
    </row>
    <row r="11" spans="1:256" s="77" customFormat="1" ht="15.75" customHeight="1" hidden="1">
      <c r="A11" s="342"/>
      <c r="B11" s="342"/>
      <c r="C11" s="342"/>
      <c r="D11" s="342"/>
      <c r="E11" s="342"/>
      <c r="IV11"/>
    </row>
    <row r="12" spans="1:256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V12"/>
    </row>
    <row r="13" spans="1:256" s="77" customFormat="1" ht="19.5" customHeight="1">
      <c r="A13" s="338"/>
      <c r="B13" s="338"/>
      <c r="C13" s="338"/>
      <c r="D13" s="338"/>
      <c r="E13" s="338"/>
      <c r="IV13"/>
    </row>
    <row r="14" spans="1:7" ht="18.75" customHeight="1">
      <c r="A14" s="166"/>
      <c r="B14" s="306" t="s">
        <v>182</v>
      </c>
      <c r="C14" s="306"/>
      <c r="D14" s="306"/>
      <c r="E14" s="306"/>
      <c r="F14" s="306"/>
      <c r="G14" s="306"/>
    </row>
    <row r="15" spans="1:6" ht="8.25" customHeight="1">
      <c r="A15" s="166"/>
      <c r="B15" s="167"/>
      <c r="C15" s="167"/>
      <c r="D15" s="167"/>
      <c r="E15" s="166"/>
      <c r="F15" s="168"/>
    </row>
    <row r="16" spans="1:8" ht="18.75" customHeight="1">
      <c r="A16" s="315" t="s">
        <v>234</v>
      </c>
      <c r="B16" s="315"/>
      <c r="C16" s="315"/>
      <c r="D16" s="315"/>
      <c r="E16" s="315"/>
      <c r="F16" s="315"/>
      <c r="G16" s="315"/>
      <c r="H16" s="315"/>
    </row>
    <row r="17" spans="1:8" ht="15.75" customHeight="1">
      <c r="A17" s="317"/>
      <c r="B17" s="317"/>
      <c r="C17" s="317"/>
      <c r="D17" s="317"/>
      <c r="E17" s="317"/>
      <c r="F17" s="317"/>
      <c r="G17" s="317"/>
      <c r="H17" s="317"/>
    </row>
    <row r="18" spans="1:8" ht="18.75" customHeight="1">
      <c r="A18" s="307" t="s">
        <v>235</v>
      </c>
      <c r="B18" s="307"/>
      <c r="C18" s="307"/>
      <c r="D18" s="307"/>
      <c r="E18" s="307"/>
      <c r="F18" s="307"/>
      <c r="G18" s="307"/>
      <c r="H18" s="307"/>
    </row>
    <row r="19" spans="1:8" ht="15" customHeight="1">
      <c r="A19" s="301" t="s">
        <v>104</v>
      </c>
      <c r="B19" s="302" t="s">
        <v>161</v>
      </c>
      <c r="C19" s="302"/>
      <c r="D19" s="302"/>
      <c r="E19" s="301" t="s">
        <v>106</v>
      </c>
      <c r="F19" s="301"/>
      <c r="G19" s="301"/>
      <c r="H19" s="302" t="s">
        <v>107</v>
      </c>
    </row>
    <row r="20" spans="1:8" ht="51" customHeight="1">
      <c r="A20" s="301"/>
      <c r="B20" s="302"/>
      <c r="C20" s="302"/>
      <c r="D20" s="302"/>
      <c r="E20" s="301" t="s">
        <v>108</v>
      </c>
      <c r="F20" s="301"/>
      <c r="G20" s="132" t="s">
        <v>12</v>
      </c>
      <c r="H20" s="302"/>
    </row>
    <row r="21" spans="1:8" ht="30">
      <c r="A21" s="301"/>
      <c r="B21" s="302"/>
      <c r="C21" s="302"/>
      <c r="D21" s="302"/>
      <c r="E21" s="87" t="s">
        <v>178</v>
      </c>
      <c r="F21" s="87" t="s">
        <v>112</v>
      </c>
      <c r="G21" s="100" t="s">
        <v>112</v>
      </c>
      <c r="H21" s="302"/>
    </row>
    <row r="22" spans="1:8" ht="15.75" customHeight="1">
      <c r="A22" s="91">
        <v>1</v>
      </c>
      <c r="B22" s="303">
        <v>2</v>
      </c>
      <c r="C22" s="303"/>
      <c r="D22" s="303"/>
      <c r="E22" s="91">
        <v>3</v>
      </c>
      <c r="F22" s="91">
        <v>4</v>
      </c>
      <c r="G22" s="91">
        <v>5</v>
      </c>
      <c r="H22" s="91" t="s">
        <v>179</v>
      </c>
    </row>
    <row r="23" spans="1:8" ht="17.25" customHeight="1">
      <c r="A23" s="91">
        <v>1</v>
      </c>
      <c r="B23" s="310" t="s">
        <v>240</v>
      </c>
      <c r="C23" s="310"/>
      <c r="D23" s="310"/>
      <c r="E23" s="91">
        <v>16</v>
      </c>
      <c r="F23" s="121">
        <v>40000</v>
      </c>
      <c r="G23" s="142"/>
      <c r="H23" s="142">
        <f>F23+G23</f>
        <v>40000</v>
      </c>
    </row>
    <row r="24" spans="1:8" ht="15.75" customHeight="1">
      <c r="A24" s="105"/>
      <c r="B24" s="296" t="s">
        <v>118</v>
      </c>
      <c r="C24" s="296"/>
      <c r="D24" s="296"/>
      <c r="E24" s="105" t="s">
        <v>119</v>
      </c>
      <c r="F24" s="137">
        <f>SUM(F23:F23)</f>
        <v>40000</v>
      </c>
      <c r="G24" s="137">
        <f>SUM(G23:G23)</f>
        <v>0</v>
      </c>
      <c r="H24" s="137">
        <f>SUM(H23:H23)</f>
        <v>40000</v>
      </c>
    </row>
    <row r="25" spans="1:6" ht="15.75">
      <c r="A25" s="166"/>
      <c r="B25" s="167"/>
      <c r="C25" s="167"/>
      <c r="D25" s="167"/>
      <c r="E25" s="166"/>
      <c r="F25" s="168"/>
    </row>
    <row r="26" spans="1:6" ht="12.75" customHeight="1">
      <c r="A26" s="166"/>
      <c r="B26" s="169"/>
      <c r="C26" s="169"/>
      <c r="D26" s="168"/>
      <c r="E26" s="168"/>
      <c r="F26" s="168"/>
    </row>
    <row r="27" spans="1:5" s="77" customFormat="1" ht="18" customHeight="1">
      <c r="A27" s="141"/>
      <c r="B27" s="253"/>
      <c r="C27" s="253"/>
      <c r="D27" s="141"/>
      <c r="E27" s="110"/>
    </row>
    <row r="28" spans="1:8" s="77" customFormat="1" ht="18.75" customHeight="1">
      <c r="A28" s="141"/>
      <c r="B28" s="297" t="s">
        <v>301</v>
      </c>
      <c r="C28" s="297"/>
      <c r="D28" s="297"/>
      <c r="E28" s="110"/>
      <c r="F28" s="127">
        <f>F24</f>
        <v>40000</v>
      </c>
      <c r="G28" s="127">
        <f>G24</f>
        <v>0</v>
      </c>
      <c r="H28" s="127">
        <f>H24</f>
        <v>40000</v>
      </c>
    </row>
    <row r="29" spans="1:8" s="77" customFormat="1" ht="42.75" customHeight="1">
      <c r="A29" s="141"/>
      <c r="B29" s="141"/>
      <c r="C29" s="141"/>
      <c r="D29" s="141"/>
      <c r="E29" s="110"/>
      <c r="F29" s="110"/>
      <c r="G29" s="110"/>
      <c r="H29" s="110"/>
    </row>
    <row r="30" spans="1:8" s="77" customFormat="1" ht="18.75" customHeight="1">
      <c r="A30" s="291" t="s">
        <v>403</v>
      </c>
      <c r="B30" s="291"/>
      <c r="C30" s="179"/>
      <c r="D30" s="179"/>
      <c r="E30" s="180"/>
      <c r="F30" s="181"/>
      <c r="G30" s="298" t="s">
        <v>404</v>
      </c>
      <c r="H30" s="298"/>
    </row>
    <row r="31" spans="1:8" s="77" customFormat="1" ht="18.75" customHeight="1">
      <c r="A31" s="293" t="s">
        <v>302</v>
      </c>
      <c r="B31" s="293"/>
      <c r="E31" s="77" t="s">
        <v>77</v>
      </c>
      <c r="F31" s="182"/>
      <c r="G31" s="299" t="s">
        <v>78</v>
      </c>
      <c r="H31" s="299"/>
    </row>
    <row r="32" spans="1:7" s="77" customFormat="1" ht="18.75">
      <c r="A32" s="183"/>
      <c r="G32" s="184"/>
    </row>
    <row r="33" spans="1:8" s="77" customFormat="1" ht="18.75" customHeight="1">
      <c r="A33" s="291" t="s">
        <v>79</v>
      </c>
      <c r="B33" s="291"/>
      <c r="C33" s="179"/>
      <c r="D33" s="179"/>
      <c r="E33" s="180"/>
      <c r="F33" s="181"/>
      <c r="G33" s="292" t="s">
        <v>80</v>
      </c>
      <c r="H33" s="292"/>
    </row>
    <row r="34" spans="1:8" s="77" customFormat="1" ht="18.75" customHeight="1">
      <c r="A34" s="293" t="s">
        <v>302</v>
      </c>
      <c r="B34" s="293"/>
      <c r="E34" s="77" t="s">
        <v>77</v>
      </c>
      <c r="F34" s="182"/>
      <c r="G34" s="294" t="s">
        <v>78</v>
      </c>
      <c r="H34" s="294"/>
    </row>
    <row r="35" s="77" customFormat="1" ht="18.75"/>
    <row r="36" s="77" customFormat="1" ht="18.75"/>
    <row r="37" spans="1:12" s="77" customFormat="1" ht="39.75" customHeight="1">
      <c r="A37" s="295"/>
      <c r="B37" s="295"/>
      <c r="C37" s="295"/>
      <c r="D37" s="295"/>
      <c r="E37" s="295"/>
      <c r="F37" s="295"/>
      <c r="G37" s="295"/>
      <c r="H37" s="295"/>
      <c r="L37" s="185"/>
    </row>
  </sheetData>
  <sheetProtection selectLockedCells="1" selectUnlockedCells="1"/>
  <mergeCells count="35"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13:E13"/>
    <mergeCell ref="B14:G14"/>
    <mergeCell ref="A16:H16"/>
    <mergeCell ref="A17:H17"/>
    <mergeCell ref="A18:H18"/>
    <mergeCell ref="A19:A21"/>
    <mergeCell ref="B19:D21"/>
    <mergeCell ref="E19:G19"/>
    <mergeCell ref="H19:H21"/>
    <mergeCell ref="E20:F20"/>
    <mergeCell ref="B22:D22"/>
    <mergeCell ref="B23:D23"/>
    <mergeCell ref="B24:D24"/>
    <mergeCell ref="B28:D28"/>
    <mergeCell ref="A30:B30"/>
    <mergeCell ref="G30:H30"/>
    <mergeCell ref="A37:H37"/>
    <mergeCell ref="A31:B31"/>
    <mergeCell ref="G31:H31"/>
    <mergeCell ref="A33:B33"/>
    <mergeCell ref="G33:H33"/>
    <mergeCell ref="A34:B34"/>
    <mergeCell ref="G34:H34"/>
  </mergeCells>
  <printOptions/>
  <pageMargins left="1.1020833333333333" right="0.31527777777777777" top="0.7479166666666667" bottom="0.7479166666666667" header="0.5118055555555555" footer="0.5118055555555555"/>
  <pageSetup fitToHeight="1" fitToWidth="1" horizontalDpi="600" verticalDpi="600" orientation="portrait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37" sqref="P37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1"/>
  <sheetViews>
    <sheetView zoomScale="46" zoomScaleNormal="46" zoomScaleSheetLayoutView="59" zoomScalePageLayoutView="0" workbookViewId="0" topLeftCell="A1">
      <selection activeCell="I49" sqref="I49"/>
    </sheetView>
  </sheetViews>
  <sheetFormatPr defaultColWidth="9.00390625" defaultRowHeight="24" customHeight="1"/>
  <cols>
    <col min="1" max="1" width="227.421875" style="1" customWidth="1"/>
    <col min="2" max="2" width="21.7109375" style="1" customWidth="1"/>
    <col min="3" max="3" width="32.421875" style="2" customWidth="1"/>
    <col min="4" max="4" width="17.57421875" style="2" customWidth="1"/>
    <col min="5" max="5" width="34.57421875" style="1" customWidth="1"/>
    <col min="6" max="6" width="30.57421875" style="1" customWidth="1"/>
    <col min="7" max="7" width="34.8515625" style="1" customWidth="1"/>
    <col min="8" max="8" width="22.8515625" style="1" customWidth="1"/>
    <col min="9" max="9" width="28.140625" style="1" customWidth="1"/>
    <col min="10" max="10" width="21.57421875" style="1" customWidth="1"/>
    <col min="11" max="11" width="11.421875" style="1" customWidth="1"/>
    <col min="12" max="12" width="75.421875" style="1" customWidth="1"/>
    <col min="13" max="13" width="23.57421875" style="3" customWidth="1"/>
    <col min="14" max="17" width="9.00390625" style="1" customWidth="1"/>
    <col min="18" max="18" width="18.140625" style="1" customWidth="1"/>
    <col min="19" max="16384" width="9.00390625" style="1" customWidth="1"/>
  </cols>
  <sheetData>
    <row r="1" spans="1:10" ht="30.75" customHeight="1">
      <c r="A1" s="4"/>
      <c r="B1" s="4"/>
      <c r="C1" s="5"/>
      <c r="D1" s="5"/>
      <c r="E1" s="6"/>
      <c r="F1" s="6"/>
      <c r="G1" s="6"/>
      <c r="H1" s="284" t="s">
        <v>82</v>
      </c>
      <c r="I1" s="284"/>
      <c r="J1" s="284"/>
    </row>
    <row r="2" spans="1:10" ht="29.25" customHeight="1">
      <c r="A2" s="285" t="s">
        <v>83</v>
      </c>
      <c r="B2" s="285"/>
      <c r="C2" s="285"/>
      <c r="D2" s="285"/>
      <c r="E2" s="285"/>
      <c r="F2" s="285"/>
      <c r="G2" s="285"/>
      <c r="H2" s="285"/>
      <c r="I2" s="285"/>
      <c r="J2" s="285"/>
    </row>
    <row r="3" ht="24.75" customHeight="1">
      <c r="F3" s="6"/>
    </row>
    <row r="4" spans="1:10" ht="37.5" customHeight="1">
      <c r="A4" s="281" t="s">
        <v>2</v>
      </c>
      <c r="B4" s="281" t="s">
        <v>3</v>
      </c>
      <c r="C4" s="282" t="s">
        <v>4</v>
      </c>
      <c r="D4" s="282" t="s">
        <v>5</v>
      </c>
      <c r="E4" s="281" t="s">
        <v>6</v>
      </c>
      <c r="F4" s="281"/>
      <c r="G4" s="281"/>
      <c r="H4" s="281"/>
      <c r="I4" s="281"/>
      <c r="J4" s="281"/>
    </row>
    <row r="5" spans="1:10" ht="31.5" customHeight="1">
      <c r="A5" s="281"/>
      <c r="B5" s="281"/>
      <c r="C5" s="282"/>
      <c r="D5" s="282"/>
      <c r="E5" s="281" t="s">
        <v>7</v>
      </c>
      <c r="F5" s="281" t="s">
        <v>8</v>
      </c>
      <c r="G5" s="281"/>
      <c r="H5" s="281"/>
      <c r="I5" s="281"/>
      <c r="J5" s="281"/>
    </row>
    <row r="6" spans="1:10" ht="102.75" customHeight="1">
      <c r="A6" s="281"/>
      <c r="B6" s="281"/>
      <c r="C6" s="282"/>
      <c r="D6" s="282"/>
      <c r="E6" s="281"/>
      <c r="F6" s="281" t="s">
        <v>9</v>
      </c>
      <c r="G6" s="281" t="s">
        <v>10</v>
      </c>
      <c r="H6" s="281" t="s">
        <v>11</v>
      </c>
      <c r="I6" s="281" t="s">
        <v>12</v>
      </c>
      <c r="J6" s="281"/>
    </row>
    <row r="7" spans="1:10" ht="249.75" customHeight="1">
      <c r="A7" s="281"/>
      <c r="B7" s="281"/>
      <c r="C7" s="282"/>
      <c r="D7" s="282"/>
      <c r="E7" s="281"/>
      <c r="F7" s="281"/>
      <c r="G7" s="281"/>
      <c r="H7" s="281"/>
      <c r="I7" s="8" t="s">
        <v>12</v>
      </c>
      <c r="J7" s="8" t="s">
        <v>13</v>
      </c>
    </row>
    <row r="8" spans="1:10" ht="30.75" customHeight="1">
      <c r="A8" s="9">
        <v>1</v>
      </c>
      <c r="B8" s="9">
        <v>2</v>
      </c>
      <c r="C8" s="10">
        <v>3</v>
      </c>
      <c r="D8" s="10"/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</row>
    <row r="9" spans="1:10" ht="30.75" customHeight="1">
      <c r="A9" s="11" t="s">
        <v>14</v>
      </c>
      <c r="B9" s="12" t="s">
        <v>15</v>
      </c>
      <c r="C9" s="10" t="s">
        <v>16</v>
      </c>
      <c r="D9" s="10" t="s">
        <v>16</v>
      </c>
      <c r="E9" s="13">
        <v>0</v>
      </c>
      <c r="F9" s="13">
        <v>0</v>
      </c>
      <c r="G9" s="13">
        <v>0</v>
      </c>
      <c r="H9" s="13"/>
      <c r="I9" s="13">
        <v>0</v>
      </c>
      <c r="J9" s="9"/>
    </row>
    <row r="10" spans="1:10" ht="30.75" customHeight="1">
      <c r="A10" s="11" t="s">
        <v>17</v>
      </c>
      <c r="B10" s="12" t="s">
        <v>18</v>
      </c>
      <c r="C10" s="10" t="s">
        <v>16</v>
      </c>
      <c r="D10" s="10" t="s">
        <v>16</v>
      </c>
      <c r="E10" s="13">
        <f>F10+G10+I10</f>
        <v>0</v>
      </c>
      <c r="F10" s="13">
        <v>0</v>
      </c>
      <c r="G10" s="13">
        <v>0</v>
      </c>
      <c r="H10" s="13"/>
      <c r="I10" s="13">
        <v>0</v>
      </c>
      <c r="J10" s="9"/>
    </row>
    <row r="11" spans="1:13" s="17" customFormat="1" ht="38.25" customHeight="1">
      <c r="A11" s="14" t="s">
        <v>19</v>
      </c>
      <c r="B11" s="15">
        <v>1000</v>
      </c>
      <c r="C11" s="16" t="s">
        <v>20</v>
      </c>
      <c r="D11" s="16" t="s">
        <v>16</v>
      </c>
      <c r="E11" s="13">
        <f>F11+G11+I11</f>
        <v>170215900</v>
      </c>
      <c r="F11" s="13">
        <f>F14</f>
        <v>132850300</v>
      </c>
      <c r="G11" s="13">
        <f>G17</f>
        <v>3365600</v>
      </c>
      <c r="H11" s="13"/>
      <c r="I11" s="13">
        <f>I14</f>
        <v>34000000</v>
      </c>
      <c r="J11" s="13"/>
      <c r="M11" s="18"/>
    </row>
    <row r="12" spans="1:13" s="23" customFormat="1" ht="27.75" customHeight="1">
      <c r="A12" s="19" t="s">
        <v>8</v>
      </c>
      <c r="B12" s="276">
        <v>1100</v>
      </c>
      <c r="C12" s="277"/>
      <c r="D12" s="277"/>
      <c r="E12" s="278"/>
      <c r="F12" s="276" t="s">
        <v>20</v>
      </c>
      <c r="G12" s="276" t="s">
        <v>20</v>
      </c>
      <c r="H12" s="276" t="s">
        <v>20</v>
      </c>
      <c r="I12" s="289"/>
      <c r="J12" s="276" t="s">
        <v>20</v>
      </c>
      <c r="M12" s="24"/>
    </row>
    <row r="13" spans="1:13" s="17" customFormat="1" ht="32.25" customHeight="1">
      <c r="A13" s="74" t="s">
        <v>21</v>
      </c>
      <c r="B13" s="276"/>
      <c r="C13" s="277"/>
      <c r="D13" s="277"/>
      <c r="E13" s="278"/>
      <c r="F13" s="276"/>
      <c r="G13" s="276"/>
      <c r="H13" s="276"/>
      <c r="I13" s="289"/>
      <c r="J13" s="276"/>
      <c r="M13" s="18"/>
    </row>
    <row r="14" spans="1:13" s="17" customFormat="1" ht="27.75" customHeight="1">
      <c r="A14" s="14" t="s">
        <v>84</v>
      </c>
      <c r="B14" s="15">
        <v>1200</v>
      </c>
      <c r="C14" s="16">
        <v>130</v>
      </c>
      <c r="D14" s="16" t="s">
        <v>16</v>
      </c>
      <c r="E14" s="13">
        <f>F14+I14</f>
        <v>166850300</v>
      </c>
      <c r="F14" s="13">
        <f>F16</f>
        <v>132850300</v>
      </c>
      <c r="G14" s="15" t="s">
        <v>20</v>
      </c>
      <c r="H14" s="15" t="s">
        <v>20</v>
      </c>
      <c r="I14" s="13">
        <f>I15</f>
        <v>34000000</v>
      </c>
      <c r="J14" s="13"/>
      <c r="M14" s="18"/>
    </row>
    <row r="15" spans="1:29" s="23" customFormat="1" ht="63.75" customHeight="1">
      <c r="A15" s="25" t="s">
        <v>376</v>
      </c>
      <c r="B15" s="26">
        <v>1210</v>
      </c>
      <c r="C15" s="21">
        <v>131</v>
      </c>
      <c r="D15" s="21">
        <v>131</v>
      </c>
      <c r="E15" s="13">
        <f>F15+G15+I15</f>
        <v>34000000</v>
      </c>
      <c r="F15" s="27">
        <v>0</v>
      </c>
      <c r="G15" s="27"/>
      <c r="H15" s="28"/>
      <c r="I15" s="27">
        <f>'2024 доходы'!E21+'2024 доходы'!E22</f>
        <v>34000000</v>
      </c>
      <c r="J15" s="1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</row>
    <row r="16" spans="1:29" s="23" customFormat="1" ht="32.25" customHeight="1">
      <c r="A16" s="25" t="s">
        <v>24</v>
      </c>
      <c r="B16" s="26">
        <v>1220</v>
      </c>
      <c r="C16" s="21">
        <v>131</v>
      </c>
      <c r="D16" s="21">
        <v>131</v>
      </c>
      <c r="E16" s="13">
        <f>F16</f>
        <v>132850300</v>
      </c>
      <c r="F16" s="27">
        <f>'2024 доходы'!E19+'2024 доходы'!E20</f>
        <v>132850300</v>
      </c>
      <c r="G16" s="27"/>
      <c r="H16" s="30"/>
      <c r="I16" s="27"/>
      <c r="J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13" s="17" customFormat="1" ht="36.75" customHeight="1">
      <c r="A17" s="14" t="s">
        <v>85</v>
      </c>
      <c r="B17" s="31">
        <v>1400</v>
      </c>
      <c r="C17" s="16">
        <v>150</v>
      </c>
      <c r="D17" s="16" t="s">
        <v>16</v>
      </c>
      <c r="E17" s="13">
        <f>SUM(E18)</f>
        <v>3365600</v>
      </c>
      <c r="F17" s="15" t="s">
        <v>20</v>
      </c>
      <c r="G17" s="32">
        <f>G18</f>
        <v>3365600</v>
      </c>
      <c r="H17" s="15"/>
      <c r="I17" s="15" t="s">
        <v>20</v>
      </c>
      <c r="J17" s="15" t="s">
        <v>20</v>
      </c>
      <c r="M17" s="18"/>
    </row>
    <row r="18" spans="1:33" s="23" customFormat="1" ht="37.5" customHeight="1">
      <c r="A18" s="25" t="s">
        <v>26</v>
      </c>
      <c r="B18" s="26">
        <v>1410</v>
      </c>
      <c r="C18" s="21">
        <v>150</v>
      </c>
      <c r="D18" s="21">
        <v>152</v>
      </c>
      <c r="E18" s="13">
        <f>G18</f>
        <v>3365600</v>
      </c>
      <c r="F18" s="20" t="s">
        <v>20</v>
      </c>
      <c r="G18" s="27">
        <f>'2024 доходы'!E33</f>
        <v>3365600</v>
      </c>
      <c r="H18" s="20"/>
      <c r="I18" s="20" t="s">
        <v>20</v>
      </c>
      <c r="J18" s="20" t="s">
        <v>20</v>
      </c>
      <c r="M18" s="24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</row>
    <row r="19" spans="1:33" s="23" customFormat="1" ht="68.25" customHeight="1">
      <c r="A19" s="25" t="s">
        <v>27</v>
      </c>
      <c r="B19" s="26">
        <v>1420</v>
      </c>
      <c r="C19" s="21">
        <v>150</v>
      </c>
      <c r="D19" s="21">
        <v>152</v>
      </c>
      <c r="E19" s="13"/>
      <c r="F19" s="20" t="s">
        <v>20</v>
      </c>
      <c r="G19" s="20"/>
      <c r="H19" s="20"/>
      <c r="I19" s="20"/>
      <c r="J19" s="20"/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13" s="23" customFormat="1" ht="32.25" customHeight="1">
      <c r="A20" s="25" t="s">
        <v>28</v>
      </c>
      <c r="B20" s="26">
        <v>1430</v>
      </c>
      <c r="C20" s="21">
        <v>160</v>
      </c>
      <c r="D20" s="21"/>
      <c r="E20" s="13"/>
      <c r="F20" s="20"/>
      <c r="G20" s="20"/>
      <c r="H20" s="20"/>
      <c r="I20" s="20"/>
      <c r="J20" s="20"/>
      <c r="M20" s="24"/>
    </row>
    <row r="21" spans="1:13" s="23" customFormat="1" ht="55.5" customHeight="1">
      <c r="A21" s="25" t="s">
        <v>377</v>
      </c>
      <c r="B21" s="26">
        <v>1440</v>
      </c>
      <c r="C21" s="21">
        <v>160</v>
      </c>
      <c r="D21" s="21">
        <v>161</v>
      </c>
      <c r="E21" s="13"/>
      <c r="F21" s="20"/>
      <c r="G21" s="20"/>
      <c r="H21" s="20"/>
      <c r="I21" s="20"/>
      <c r="J21" s="20"/>
      <c r="M21" s="24"/>
    </row>
    <row r="22" spans="1:13" s="23" customFormat="1" ht="43.5" customHeight="1">
      <c r="A22" s="25" t="s">
        <v>30</v>
      </c>
      <c r="B22" s="26">
        <v>1450</v>
      </c>
      <c r="C22" s="21">
        <v>160</v>
      </c>
      <c r="D22" s="21">
        <v>162</v>
      </c>
      <c r="E22" s="13"/>
      <c r="F22" s="20"/>
      <c r="G22" s="20"/>
      <c r="H22" s="20"/>
      <c r="I22" s="20"/>
      <c r="J22" s="20"/>
      <c r="M22" s="24"/>
    </row>
    <row r="23" spans="1:13" s="17" customFormat="1" ht="30" customHeight="1">
      <c r="A23" s="14" t="s">
        <v>31</v>
      </c>
      <c r="B23" s="31">
        <v>1900</v>
      </c>
      <c r="C23" s="16" t="s">
        <v>16</v>
      </c>
      <c r="D23" s="16" t="s">
        <v>16</v>
      </c>
      <c r="E23" s="13"/>
      <c r="F23" s="15"/>
      <c r="G23" s="15"/>
      <c r="H23" s="15"/>
      <c r="I23" s="22"/>
      <c r="J23" s="15"/>
      <c r="M23" s="18"/>
    </row>
    <row r="24" spans="1:13" s="17" customFormat="1" ht="36" customHeight="1">
      <c r="A24" s="14" t="s">
        <v>86</v>
      </c>
      <c r="B24" s="31">
        <v>1980</v>
      </c>
      <c r="C24" s="16" t="s">
        <v>16</v>
      </c>
      <c r="D24" s="16" t="s">
        <v>16</v>
      </c>
      <c r="E24" s="13"/>
      <c r="F24" s="15"/>
      <c r="G24" s="15"/>
      <c r="H24" s="15"/>
      <c r="I24" s="15"/>
      <c r="J24" s="15"/>
      <c r="M24" s="18"/>
    </row>
    <row r="25" spans="1:13" s="17" customFormat="1" ht="27" customHeight="1">
      <c r="A25" s="14" t="s">
        <v>33</v>
      </c>
      <c r="B25" s="15">
        <v>2000</v>
      </c>
      <c r="C25" s="16" t="s">
        <v>20</v>
      </c>
      <c r="D25" s="16"/>
      <c r="E25" s="32">
        <f>E26+E37+E43</f>
        <v>170215900.00398254</v>
      </c>
      <c r="F25" s="32">
        <f>F26+F37+F43</f>
        <v>132850300.00398254</v>
      </c>
      <c r="G25" s="32">
        <f>G26+G37+G43</f>
        <v>3365600</v>
      </c>
      <c r="H25" s="32"/>
      <c r="I25" s="32">
        <f>I26+I37+I43</f>
        <v>34000000</v>
      </c>
      <c r="J25" s="32"/>
      <c r="M25" s="18"/>
    </row>
    <row r="26" spans="1:13" s="23" customFormat="1" ht="35.25" customHeight="1">
      <c r="A26" s="19" t="s">
        <v>8</v>
      </c>
      <c r="B26" s="290">
        <v>2100</v>
      </c>
      <c r="C26" s="286" t="s">
        <v>34</v>
      </c>
      <c r="D26" s="286"/>
      <c r="E26" s="287">
        <f>F26+G26+I26</f>
        <v>108069900.00398254</v>
      </c>
      <c r="F26" s="287">
        <f>F28+F30+F31+F33+F34+F35</f>
        <v>102879800.00398254</v>
      </c>
      <c r="G26" s="287"/>
      <c r="H26" s="287"/>
      <c r="I26" s="287">
        <f>SUM(I28:I35)</f>
        <v>5190100</v>
      </c>
      <c r="J26" s="288"/>
      <c r="M26" s="24"/>
    </row>
    <row r="27" spans="1:30" s="23" customFormat="1" ht="27" customHeight="1">
      <c r="A27" s="33" t="s">
        <v>35</v>
      </c>
      <c r="B27" s="290"/>
      <c r="C27" s="286"/>
      <c r="D27" s="286"/>
      <c r="E27" s="287"/>
      <c r="F27" s="287"/>
      <c r="G27" s="287"/>
      <c r="H27" s="287"/>
      <c r="I27" s="287"/>
      <c r="J27" s="288"/>
      <c r="M27" s="2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s="23" customFormat="1" ht="25.5" customHeight="1">
      <c r="A28" s="19" t="s">
        <v>36</v>
      </c>
      <c r="B28" s="276">
        <v>2110</v>
      </c>
      <c r="C28" s="277">
        <v>111</v>
      </c>
      <c r="D28" s="277">
        <v>211</v>
      </c>
      <c r="E28" s="280">
        <f>F28+G28+I28</f>
        <v>82116800.00305879</v>
      </c>
      <c r="F28" s="279">
        <f>'2024 расх'!F31</f>
        <v>78616800.00305879</v>
      </c>
      <c r="G28" s="279"/>
      <c r="H28" s="279"/>
      <c r="I28" s="279">
        <f>'2024 расх'!G31</f>
        <v>3500000</v>
      </c>
      <c r="J28" s="280"/>
      <c r="M28" s="2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s="23" customFormat="1" ht="32.25" customHeight="1">
      <c r="A29" s="19" t="s">
        <v>37</v>
      </c>
      <c r="B29" s="276"/>
      <c r="C29" s="277"/>
      <c r="D29" s="277"/>
      <c r="E29" s="280"/>
      <c r="F29" s="279"/>
      <c r="G29" s="279"/>
      <c r="H29" s="279"/>
      <c r="I29" s="279"/>
      <c r="J29" s="280"/>
      <c r="L29" s="35"/>
      <c r="M29" s="24"/>
      <c r="R29" s="36"/>
      <c r="S29" s="37"/>
      <c r="T29" s="37"/>
      <c r="U29" s="38"/>
      <c r="V29" s="38"/>
      <c r="W29" s="38"/>
      <c r="X29" s="38"/>
      <c r="Y29" s="38"/>
      <c r="Z29" s="38"/>
      <c r="AA29" s="39"/>
      <c r="AB29" s="39"/>
      <c r="AC29" s="40"/>
      <c r="AD29" s="34"/>
    </row>
    <row r="30" spans="1:30" s="46" customFormat="1" ht="36.75" customHeight="1">
      <c r="A30" s="41" t="s">
        <v>38</v>
      </c>
      <c r="B30" s="26">
        <v>2120</v>
      </c>
      <c r="C30" s="21">
        <v>111</v>
      </c>
      <c r="D30" s="42">
        <v>266</v>
      </c>
      <c r="E30" s="43">
        <f aca="true" t="shared" si="0" ref="E30:E35">F30+G30+I30</f>
        <v>400000</v>
      </c>
      <c r="F30" s="44">
        <f>'2024 расх'!F42</f>
        <v>400000</v>
      </c>
      <c r="G30" s="44"/>
      <c r="H30" s="44"/>
      <c r="I30" s="44">
        <f>'2024 расх'!G41</f>
        <v>0</v>
      </c>
      <c r="J30" s="45"/>
      <c r="M30" s="47"/>
      <c r="R30" s="48"/>
      <c r="S30" s="37"/>
      <c r="T30" s="37"/>
      <c r="U30" s="38"/>
      <c r="V30" s="38"/>
      <c r="W30" s="38"/>
      <c r="X30" s="38"/>
      <c r="Y30" s="38"/>
      <c r="Z30" s="38"/>
      <c r="AA30" s="39"/>
      <c r="AB30" s="39"/>
      <c r="AC30" s="40"/>
      <c r="AD30" s="49"/>
    </row>
    <row r="31" spans="1:30" s="46" customFormat="1" ht="33" customHeight="1">
      <c r="A31" s="50" t="s">
        <v>39</v>
      </c>
      <c r="B31" s="26">
        <v>2130</v>
      </c>
      <c r="C31" s="21">
        <v>112</v>
      </c>
      <c r="D31" s="42">
        <v>212</v>
      </c>
      <c r="E31" s="43">
        <f t="shared" si="0"/>
        <v>24000</v>
      </c>
      <c r="F31" s="44"/>
      <c r="G31" s="44"/>
      <c r="H31" s="44"/>
      <c r="I31" s="44">
        <f>'2024 расх'!G99</f>
        <v>24000</v>
      </c>
      <c r="J31" s="45"/>
      <c r="M31" s="47"/>
      <c r="R31" s="48"/>
      <c r="S31" s="37"/>
      <c r="T31" s="37"/>
      <c r="U31" s="38"/>
      <c r="V31" s="38"/>
      <c r="W31" s="38"/>
      <c r="X31" s="38"/>
      <c r="Y31" s="38"/>
      <c r="Z31" s="38"/>
      <c r="AA31" s="39"/>
      <c r="AB31" s="39"/>
      <c r="AC31" s="40"/>
      <c r="AD31" s="49"/>
    </row>
    <row r="32" spans="1:30" s="46" customFormat="1" ht="33" customHeight="1">
      <c r="A32" s="50" t="s">
        <v>42</v>
      </c>
      <c r="B32" s="26">
        <v>2140</v>
      </c>
      <c r="C32" s="21">
        <v>112</v>
      </c>
      <c r="D32" s="42">
        <v>214</v>
      </c>
      <c r="E32" s="43">
        <f t="shared" si="0"/>
        <v>200000</v>
      </c>
      <c r="F32" s="44"/>
      <c r="G32" s="44"/>
      <c r="H32" s="44"/>
      <c r="I32" s="44">
        <f>'2024 расх'!G107</f>
        <v>200000</v>
      </c>
      <c r="J32" s="45"/>
      <c r="M32" s="47"/>
      <c r="R32" s="48"/>
      <c r="S32" s="37"/>
      <c r="T32" s="37"/>
      <c r="U32" s="38"/>
      <c r="V32" s="38"/>
      <c r="W32" s="38"/>
      <c r="X32" s="38"/>
      <c r="Y32" s="38"/>
      <c r="Z32" s="38"/>
      <c r="AA32" s="39"/>
      <c r="AB32" s="39"/>
      <c r="AC32" s="40"/>
      <c r="AD32" s="49"/>
    </row>
    <row r="33" spans="1:30" s="46" customFormat="1" ht="36" customHeight="1">
      <c r="A33" s="50" t="s">
        <v>41</v>
      </c>
      <c r="B33" s="26">
        <v>2150</v>
      </c>
      <c r="C33" s="21">
        <v>112</v>
      </c>
      <c r="D33" s="42">
        <v>226</v>
      </c>
      <c r="E33" s="43">
        <f t="shared" si="0"/>
        <v>376000</v>
      </c>
      <c r="F33" s="44"/>
      <c r="G33" s="44"/>
      <c r="H33" s="44"/>
      <c r="I33" s="44">
        <f>'2024 расх'!G120</f>
        <v>376000</v>
      </c>
      <c r="J33" s="45"/>
      <c r="M33" s="47"/>
      <c r="R33" s="36"/>
      <c r="S33" s="37"/>
      <c r="T33" s="37"/>
      <c r="U33" s="38"/>
      <c r="V33" s="38"/>
      <c r="W33" s="38"/>
      <c r="X33" s="38"/>
      <c r="Y33" s="38"/>
      <c r="Z33" s="38"/>
      <c r="AA33" s="39"/>
      <c r="AB33" s="39"/>
      <c r="AC33" s="40"/>
      <c r="AD33" s="49"/>
    </row>
    <row r="34" spans="1:30" s="46" customFormat="1" ht="36.75" customHeight="1">
      <c r="A34" s="41" t="s">
        <v>38</v>
      </c>
      <c r="B34" s="26">
        <v>2160</v>
      </c>
      <c r="C34" s="21">
        <v>112</v>
      </c>
      <c r="D34" s="42">
        <v>266</v>
      </c>
      <c r="E34" s="43">
        <f t="shared" si="0"/>
        <v>0</v>
      </c>
      <c r="F34" s="44">
        <f>'2024 расх'!F100</f>
        <v>0</v>
      </c>
      <c r="G34" s="44"/>
      <c r="H34" s="44"/>
      <c r="I34" s="44">
        <f>'2024 расх'!G91</f>
        <v>0</v>
      </c>
      <c r="J34" s="45"/>
      <c r="M34" s="47"/>
      <c r="R34" s="36"/>
      <c r="S34" s="37"/>
      <c r="T34" s="37"/>
      <c r="U34" s="38"/>
      <c r="V34" s="38"/>
      <c r="W34" s="38"/>
      <c r="X34" s="38"/>
      <c r="Y34" s="38"/>
      <c r="Z34" s="38"/>
      <c r="AA34" s="39"/>
      <c r="AB34" s="39"/>
      <c r="AC34" s="40"/>
      <c r="AD34" s="49"/>
    </row>
    <row r="35" spans="1:30" s="46" customFormat="1" ht="35.25" customHeight="1">
      <c r="A35" s="41" t="s">
        <v>43</v>
      </c>
      <c r="B35" s="26">
        <v>2170</v>
      </c>
      <c r="C35" s="21">
        <v>119</v>
      </c>
      <c r="D35" s="42">
        <v>213</v>
      </c>
      <c r="E35" s="43">
        <f t="shared" si="0"/>
        <v>24953100.000923757</v>
      </c>
      <c r="F35" s="44">
        <f>'2024 расх'!F80</f>
        <v>23863000.000923757</v>
      </c>
      <c r="G35" s="44"/>
      <c r="H35" s="44"/>
      <c r="I35" s="44">
        <f>'2024 расх'!G80</f>
        <v>1090100</v>
      </c>
      <c r="J35" s="45"/>
      <c r="M35" s="47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s="46" customFormat="1" ht="38.25" customHeight="1">
      <c r="A36" s="41" t="s">
        <v>44</v>
      </c>
      <c r="B36" s="31">
        <v>2200</v>
      </c>
      <c r="C36" s="16" t="s">
        <v>34</v>
      </c>
      <c r="D36" s="42"/>
      <c r="E36" s="43"/>
      <c r="F36" s="44"/>
      <c r="G36" s="44"/>
      <c r="H36" s="44"/>
      <c r="I36" s="44"/>
      <c r="J36" s="45"/>
      <c r="M36" s="47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13" s="17" customFormat="1" ht="34.5" customHeight="1">
      <c r="A37" s="51" t="s">
        <v>45</v>
      </c>
      <c r="B37" s="15">
        <v>2300</v>
      </c>
      <c r="C37" s="16" t="s">
        <v>34</v>
      </c>
      <c r="D37" s="52"/>
      <c r="E37" s="43">
        <f>SUM(E38:E40)</f>
        <v>280000</v>
      </c>
      <c r="F37" s="43">
        <f>SUM(F38:F40)</f>
        <v>0</v>
      </c>
      <c r="G37" s="53"/>
      <c r="H37" s="53"/>
      <c r="I37" s="43">
        <f>SUM(I38:I40)</f>
        <v>280000</v>
      </c>
      <c r="J37" s="13"/>
      <c r="M37" s="18"/>
    </row>
    <row r="38" spans="1:13" s="23" customFormat="1" ht="42" customHeight="1">
      <c r="A38" s="51" t="s">
        <v>46</v>
      </c>
      <c r="B38" s="20">
        <v>2310</v>
      </c>
      <c r="C38" s="21">
        <v>851</v>
      </c>
      <c r="D38" s="42">
        <v>291</v>
      </c>
      <c r="E38" s="43">
        <f>F38+G38+I38</f>
        <v>0</v>
      </c>
      <c r="F38" s="54"/>
      <c r="G38" s="54"/>
      <c r="H38" s="54"/>
      <c r="I38" s="54"/>
      <c r="J38" s="13"/>
      <c r="M38" s="24"/>
    </row>
    <row r="39" spans="1:13" s="23" customFormat="1" ht="36.75" customHeight="1">
      <c r="A39" s="51" t="s">
        <v>46</v>
      </c>
      <c r="B39" s="20">
        <v>2320</v>
      </c>
      <c r="C39" s="21">
        <v>852</v>
      </c>
      <c r="D39" s="42">
        <v>291</v>
      </c>
      <c r="E39" s="43">
        <f>F39+G39+I39</f>
        <v>15000</v>
      </c>
      <c r="F39" s="54">
        <f>'2024 расх'!F132</f>
        <v>0</v>
      </c>
      <c r="G39" s="54"/>
      <c r="H39" s="54"/>
      <c r="I39" s="54">
        <f>'2024 расх'!G132</f>
        <v>15000</v>
      </c>
      <c r="J39" s="13"/>
      <c r="M39" s="24"/>
    </row>
    <row r="40" spans="1:13" s="23" customFormat="1" ht="33.75" customHeight="1">
      <c r="A40" s="51" t="s">
        <v>47</v>
      </c>
      <c r="B40" s="20">
        <v>2330</v>
      </c>
      <c r="C40" s="21">
        <v>853</v>
      </c>
      <c r="D40" s="42" t="s">
        <v>87</v>
      </c>
      <c r="E40" s="43">
        <f>F40+G40+I40</f>
        <v>265000</v>
      </c>
      <c r="F40" s="54"/>
      <c r="G40" s="54"/>
      <c r="H40" s="54"/>
      <c r="I40" s="54">
        <f>'2024 расх'!G133+'2024 расх'!G134+'2024 расх'!G135</f>
        <v>265000</v>
      </c>
      <c r="J40" s="13"/>
      <c r="M40" s="24"/>
    </row>
    <row r="41" spans="1:13" s="23" customFormat="1" ht="31.5" customHeight="1">
      <c r="A41" s="25" t="s">
        <v>49</v>
      </c>
      <c r="B41" s="55">
        <v>2400</v>
      </c>
      <c r="C41" s="16" t="s">
        <v>16</v>
      </c>
      <c r="D41" s="16"/>
      <c r="E41" s="13"/>
      <c r="F41" s="13"/>
      <c r="G41" s="13"/>
      <c r="H41" s="13"/>
      <c r="I41" s="13"/>
      <c r="J41" s="13"/>
      <c r="M41" s="24"/>
    </row>
    <row r="42" spans="1:13" s="23" customFormat="1" ht="28.5" customHeight="1">
      <c r="A42" s="25" t="s">
        <v>50</v>
      </c>
      <c r="B42" s="20">
        <v>2500</v>
      </c>
      <c r="C42" s="16" t="s">
        <v>16</v>
      </c>
      <c r="D42" s="16"/>
      <c r="E42" s="13"/>
      <c r="F42" s="13"/>
      <c r="G42" s="13"/>
      <c r="H42" s="13"/>
      <c r="I42" s="13"/>
      <c r="J42" s="13"/>
      <c r="M42" s="24"/>
    </row>
    <row r="43" spans="1:13" s="58" customFormat="1" ht="27" customHeight="1">
      <c r="A43" s="56" t="s">
        <v>51</v>
      </c>
      <c r="B43" s="31">
        <v>2600</v>
      </c>
      <c r="C43" s="16" t="s">
        <v>20</v>
      </c>
      <c r="D43" s="16"/>
      <c r="E43" s="57">
        <f>E44+E48+E65</f>
        <v>61866000</v>
      </c>
      <c r="F43" s="57">
        <f>F44+F48+F65</f>
        <v>29970500</v>
      </c>
      <c r="G43" s="57">
        <f>G44+G48+G65</f>
        <v>3365600</v>
      </c>
      <c r="H43" s="57">
        <f>H44+H48+H65</f>
        <v>0</v>
      </c>
      <c r="I43" s="57">
        <f>I44+I48+I65</f>
        <v>28529900</v>
      </c>
      <c r="J43" s="57"/>
      <c r="M43" s="59"/>
    </row>
    <row r="44" spans="1:13" s="58" customFormat="1" ht="51" customHeight="1">
      <c r="A44" s="50" t="s">
        <v>378</v>
      </c>
      <c r="B44" s="31">
        <v>2610</v>
      </c>
      <c r="C44" s="16">
        <v>243</v>
      </c>
      <c r="D44" s="16"/>
      <c r="E44" s="57">
        <f>SUM(E45:E47)</f>
        <v>1000000</v>
      </c>
      <c r="F44" s="57"/>
      <c r="G44" s="57">
        <f>SUM(G45:G47)</f>
        <v>0</v>
      </c>
      <c r="H44" s="57"/>
      <c r="I44" s="57">
        <f>SUM(I45:I47)</f>
        <v>1000000</v>
      </c>
      <c r="J44" s="57"/>
      <c r="M44" s="59"/>
    </row>
    <row r="45" spans="1:13" s="23" customFormat="1" ht="53.25" customHeight="1">
      <c r="A45" s="25" t="s">
        <v>88</v>
      </c>
      <c r="B45" s="20">
        <v>2611</v>
      </c>
      <c r="C45" s="21">
        <v>243</v>
      </c>
      <c r="D45" s="21">
        <v>225</v>
      </c>
      <c r="E45" s="13">
        <f>F45+G45+I45</f>
        <v>0</v>
      </c>
      <c r="F45" s="54"/>
      <c r="G45" s="54"/>
      <c r="H45" s="54"/>
      <c r="I45" s="54">
        <v>0</v>
      </c>
      <c r="J45" s="13"/>
      <c r="M45" s="24"/>
    </row>
    <row r="46" spans="1:13" s="23" customFormat="1" ht="32.25" customHeight="1">
      <c r="A46" s="25" t="s">
        <v>54</v>
      </c>
      <c r="B46" s="20">
        <v>2612</v>
      </c>
      <c r="C46" s="21">
        <v>243</v>
      </c>
      <c r="D46" s="21">
        <v>228</v>
      </c>
      <c r="E46" s="13">
        <f>F46+G46+I46</f>
        <v>1000000</v>
      </c>
      <c r="F46" s="54"/>
      <c r="G46" s="54"/>
      <c r="H46" s="54"/>
      <c r="I46" s="54">
        <f>'2024 расх'!G154</f>
        <v>1000000</v>
      </c>
      <c r="J46" s="13"/>
      <c r="M46" s="24"/>
    </row>
    <row r="47" spans="1:13" s="23" customFormat="1" ht="32.25" customHeight="1">
      <c r="A47" s="25" t="s">
        <v>55</v>
      </c>
      <c r="B47" s="20">
        <v>2613</v>
      </c>
      <c r="C47" s="21">
        <v>243</v>
      </c>
      <c r="D47" s="21">
        <v>310</v>
      </c>
      <c r="E47" s="13">
        <f>F47+G47+I47</f>
        <v>0</v>
      </c>
      <c r="F47" s="54"/>
      <c r="G47" s="54"/>
      <c r="H47" s="54"/>
      <c r="I47" s="54"/>
      <c r="J47" s="13"/>
      <c r="M47" s="24"/>
    </row>
    <row r="48" spans="1:13" s="23" customFormat="1" ht="64.5" customHeight="1">
      <c r="A48" s="60" t="s">
        <v>56</v>
      </c>
      <c r="B48" s="61" t="s">
        <v>57</v>
      </c>
      <c r="C48" s="61">
        <v>244</v>
      </c>
      <c r="D48" s="21"/>
      <c r="E48" s="13">
        <f>SUM(E49:E64)</f>
        <v>50737600.004</v>
      </c>
      <c r="F48" s="13">
        <f>SUM(F49:F63)</f>
        <v>19842100.004</v>
      </c>
      <c r="G48" s="13">
        <f>SUM(G49:G63)</f>
        <v>3365600</v>
      </c>
      <c r="H48" s="13"/>
      <c r="I48" s="13">
        <f>SUM(I49:I64)</f>
        <v>27529900</v>
      </c>
      <c r="J48" s="13"/>
      <c r="M48" s="24"/>
    </row>
    <row r="49" spans="1:13" s="23" customFormat="1" ht="55.5" customHeight="1">
      <c r="A49" s="25" t="s">
        <v>89</v>
      </c>
      <c r="B49" s="20">
        <v>2621</v>
      </c>
      <c r="C49" s="21">
        <v>244</v>
      </c>
      <c r="D49" s="21">
        <v>221</v>
      </c>
      <c r="E49" s="13">
        <f aca="true" t="shared" si="1" ref="E49:E56">F49+G49+I49</f>
        <v>268300</v>
      </c>
      <c r="F49" s="54">
        <f>'2024 расх'!F169</f>
        <v>0</v>
      </c>
      <c r="G49" s="54"/>
      <c r="H49" s="54"/>
      <c r="I49" s="54">
        <f>'2024 расх'!G169</f>
        <v>268300</v>
      </c>
      <c r="J49" s="13"/>
      <c r="M49" s="24"/>
    </row>
    <row r="50" spans="1:13" s="23" customFormat="1" ht="39.75" customHeight="1">
      <c r="A50" s="25" t="s">
        <v>40</v>
      </c>
      <c r="B50" s="20">
        <v>2622</v>
      </c>
      <c r="C50" s="21">
        <v>244</v>
      </c>
      <c r="D50" s="21">
        <v>222</v>
      </c>
      <c r="E50" s="13">
        <f t="shared" si="1"/>
        <v>209000</v>
      </c>
      <c r="F50" s="54">
        <f>'2024 расх'!F180</f>
        <v>0</v>
      </c>
      <c r="G50" s="54"/>
      <c r="H50" s="54"/>
      <c r="I50" s="54">
        <f>'2024 расх'!G180</f>
        <v>209000</v>
      </c>
      <c r="J50" s="13"/>
      <c r="M50" s="24"/>
    </row>
    <row r="51" spans="1:13" s="23" customFormat="1" ht="36.75" customHeight="1">
      <c r="A51" s="25" t="s">
        <v>59</v>
      </c>
      <c r="B51" s="20">
        <v>2623</v>
      </c>
      <c r="C51" s="21">
        <v>244</v>
      </c>
      <c r="D51" s="21">
        <v>223</v>
      </c>
      <c r="E51" s="13">
        <f t="shared" si="1"/>
        <v>2538300.0039999997</v>
      </c>
      <c r="F51" s="54">
        <f>'2024 расх'!F192</f>
        <v>2538300.0039999997</v>
      </c>
      <c r="G51" s="54"/>
      <c r="H51" s="54"/>
      <c r="I51" s="54">
        <f>'2024 расх'!G192</f>
        <v>0</v>
      </c>
      <c r="J51" s="13"/>
      <c r="M51" s="24"/>
    </row>
    <row r="52" spans="1:13" s="23" customFormat="1" ht="33" customHeight="1">
      <c r="A52" s="25" t="s">
        <v>60</v>
      </c>
      <c r="B52" s="20">
        <v>2624</v>
      </c>
      <c r="C52" s="21">
        <v>244</v>
      </c>
      <c r="D52" s="21">
        <v>225</v>
      </c>
      <c r="E52" s="13">
        <f t="shared" si="1"/>
        <v>5136400</v>
      </c>
      <c r="F52" s="54">
        <f>'2024 расх'!F230</f>
        <v>0</v>
      </c>
      <c r="G52" s="54"/>
      <c r="H52" s="54"/>
      <c r="I52" s="54">
        <f>'2024 расх'!G230</f>
        <v>5136400</v>
      </c>
      <c r="J52" s="13"/>
      <c r="M52" s="24"/>
    </row>
    <row r="53" spans="1:13" s="23" customFormat="1" ht="31.5" customHeight="1">
      <c r="A53" s="25" t="s">
        <v>41</v>
      </c>
      <c r="B53" s="20">
        <v>2625</v>
      </c>
      <c r="C53" s="21">
        <v>244</v>
      </c>
      <c r="D53" s="21">
        <v>226</v>
      </c>
      <c r="E53" s="13">
        <f t="shared" si="1"/>
        <v>1222500</v>
      </c>
      <c r="F53" s="54">
        <f>'2024 расх'!F250</f>
        <v>0</v>
      </c>
      <c r="G53" s="54">
        <f>'расх иные 2024'!F34</f>
        <v>30000</v>
      </c>
      <c r="H53" s="54"/>
      <c r="I53" s="54">
        <f>'2024 расх'!G250</f>
        <v>1192500</v>
      </c>
      <c r="J53" s="13"/>
      <c r="M53" s="24"/>
    </row>
    <row r="54" spans="1:13" s="23" customFormat="1" ht="31.5" customHeight="1">
      <c r="A54" s="25" t="s">
        <v>61</v>
      </c>
      <c r="B54" s="20">
        <v>2626</v>
      </c>
      <c r="C54" s="21">
        <v>244</v>
      </c>
      <c r="D54" s="21">
        <v>227</v>
      </c>
      <c r="E54" s="13">
        <f t="shared" si="1"/>
        <v>97000</v>
      </c>
      <c r="F54" s="54">
        <f>'2024 расх'!F261</f>
        <v>0</v>
      </c>
      <c r="G54" s="54"/>
      <c r="H54" s="54"/>
      <c r="I54" s="54">
        <f>'2024 расх'!G261</f>
        <v>97000</v>
      </c>
      <c r="J54" s="13"/>
      <c r="M54" s="24"/>
    </row>
    <row r="55" spans="1:13" s="23" customFormat="1" ht="36" customHeight="1">
      <c r="A55" s="25" t="s">
        <v>54</v>
      </c>
      <c r="B55" s="20">
        <v>2627</v>
      </c>
      <c r="C55" s="21">
        <v>244</v>
      </c>
      <c r="D55" s="21">
        <v>228</v>
      </c>
      <c r="E55" s="13">
        <f t="shared" si="1"/>
        <v>0</v>
      </c>
      <c r="F55" s="54"/>
      <c r="G55" s="54"/>
      <c r="H55" s="54"/>
      <c r="I55" s="54"/>
      <c r="J55" s="13"/>
      <c r="M55" s="24"/>
    </row>
    <row r="56" spans="1:13" s="23" customFormat="1" ht="31.5" customHeight="1">
      <c r="A56" s="25" t="s">
        <v>55</v>
      </c>
      <c r="B56" s="20">
        <v>2628</v>
      </c>
      <c r="C56" s="21">
        <v>244</v>
      </c>
      <c r="D56" s="21">
        <v>310</v>
      </c>
      <c r="E56" s="13">
        <f t="shared" si="1"/>
        <v>4335600</v>
      </c>
      <c r="F56" s="54">
        <f>'2024 расх'!F274</f>
        <v>0</v>
      </c>
      <c r="G56" s="54">
        <f>'расх иные 2024'!H32</f>
        <v>3335600</v>
      </c>
      <c r="H56" s="54"/>
      <c r="I56" s="54">
        <f>'2024 расх'!G274</f>
        <v>1000000</v>
      </c>
      <c r="J56" s="13"/>
      <c r="M56" s="24"/>
    </row>
    <row r="57" spans="1:13" s="23" customFormat="1" ht="37.5" customHeight="1">
      <c r="A57" s="25" t="s">
        <v>62</v>
      </c>
      <c r="B57" s="20">
        <v>2629</v>
      </c>
      <c r="C57" s="21">
        <v>244</v>
      </c>
      <c r="D57" s="21">
        <v>341</v>
      </c>
      <c r="E57" s="32">
        <f aca="true" t="shared" si="2" ref="E57:E66">F57+G57+H57+I57</f>
        <v>1325000</v>
      </c>
      <c r="F57" s="54">
        <f>'2024 расх'!F286</f>
        <v>0</v>
      </c>
      <c r="G57" s="54"/>
      <c r="H57" s="54"/>
      <c r="I57" s="54">
        <f>'2024 расх'!G286</f>
        <v>1325000</v>
      </c>
      <c r="J57" s="54"/>
      <c r="L57" s="62"/>
      <c r="M57" s="24"/>
    </row>
    <row r="58" spans="1:13" s="23" customFormat="1" ht="33" customHeight="1">
      <c r="A58" s="25" t="s">
        <v>63</v>
      </c>
      <c r="B58" s="20">
        <v>2630</v>
      </c>
      <c r="C58" s="21">
        <v>244</v>
      </c>
      <c r="D58" s="21">
        <v>342</v>
      </c>
      <c r="E58" s="32">
        <f t="shared" si="2"/>
        <v>32165800</v>
      </c>
      <c r="F58" s="54">
        <f>'2024 расх'!F295</f>
        <v>17303800</v>
      </c>
      <c r="G58" s="54"/>
      <c r="H58" s="54"/>
      <c r="I58" s="54">
        <f>'2024 расх'!G295</f>
        <v>14862000</v>
      </c>
      <c r="J58" s="54"/>
      <c r="L58" s="63"/>
      <c r="M58" s="24"/>
    </row>
    <row r="59" spans="1:13" s="23" customFormat="1" ht="30" customHeight="1">
      <c r="A59" s="25" t="s">
        <v>64</v>
      </c>
      <c r="B59" s="20">
        <v>2631</v>
      </c>
      <c r="C59" s="21">
        <v>244</v>
      </c>
      <c r="D59" s="21">
        <v>343</v>
      </c>
      <c r="E59" s="32">
        <f t="shared" si="2"/>
        <v>400000</v>
      </c>
      <c r="F59" s="54">
        <f>'2024 расх'!F306</f>
        <v>0</v>
      </c>
      <c r="G59" s="54"/>
      <c r="H59" s="54"/>
      <c r="I59" s="54">
        <f>'2024 расх'!G306</f>
        <v>400000</v>
      </c>
      <c r="J59" s="54"/>
      <c r="L59" s="63"/>
      <c r="M59" s="24"/>
    </row>
    <row r="60" spans="1:13" s="23" customFormat="1" ht="33.75" customHeight="1">
      <c r="A60" s="25" t="s">
        <v>65</v>
      </c>
      <c r="B60" s="20">
        <v>2632</v>
      </c>
      <c r="C60" s="21">
        <v>244</v>
      </c>
      <c r="D60" s="21">
        <v>344</v>
      </c>
      <c r="E60" s="32">
        <f t="shared" si="2"/>
        <v>575000</v>
      </c>
      <c r="F60" s="54">
        <f>'2024 расх'!F315</f>
        <v>0</v>
      </c>
      <c r="G60" s="54"/>
      <c r="H60" s="54"/>
      <c r="I60" s="54">
        <f>'2024 расх'!G315</f>
        <v>575000</v>
      </c>
      <c r="J60" s="54"/>
      <c r="L60" s="63"/>
      <c r="M60" s="24"/>
    </row>
    <row r="61" spans="1:13" s="23" customFormat="1" ht="30" customHeight="1">
      <c r="A61" s="25" t="s">
        <v>66</v>
      </c>
      <c r="B61" s="20">
        <v>2633</v>
      </c>
      <c r="C61" s="21">
        <v>244</v>
      </c>
      <c r="D61" s="21">
        <v>345</v>
      </c>
      <c r="E61" s="32">
        <f t="shared" si="2"/>
        <v>994700</v>
      </c>
      <c r="F61" s="54">
        <f>'2024 расх'!F328</f>
        <v>0</v>
      </c>
      <c r="G61" s="54"/>
      <c r="H61" s="54"/>
      <c r="I61" s="54">
        <f>'2024 расх'!G328</f>
        <v>994700</v>
      </c>
      <c r="J61" s="54"/>
      <c r="L61" s="63"/>
      <c r="M61" s="24"/>
    </row>
    <row r="62" spans="1:13" s="23" customFormat="1" ht="32.25" customHeight="1">
      <c r="A62" s="25" t="s">
        <v>67</v>
      </c>
      <c r="B62" s="20">
        <v>2634</v>
      </c>
      <c r="C62" s="21">
        <v>244</v>
      </c>
      <c r="D62" s="21">
        <v>346</v>
      </c>
      <c r="E62" s="32">
        <f t="shared" si="2"/>
        <v>1455000</v>
      </c>
      <c r="F62" s="54">
        <f>'2024 расх'!F345</f>
        <v>0</v>
      </c>
      <c r="G62" s="54"/>
      <c r="H62" s="54"/>
      <c r="I62" s="54">
        <f>'2024 расх'!G345</f>
        <v>1455000</v>
      </c>
      <c r="J62" s="54"/>
      <c r="L62" s="63"/>
      <c r="M62" s="24"/>
    </row>
    <row r="63" spans="1:13" s="23" customFormat="1" ht="28.5" customHeight="1">
      <c r="A63" s="25" t="s">
        <v>68</v>
      </c>
      <c r="B63" s="20">
        <v>2635</v>
      </c>
      <c r="C63" s="21">
        <v>244</v>
      </c>
      <c r="D63" s="21">
        <v>349</v>
      </c>
      <c r="E63" s="32">
        <f t="shared" si="2"/>
        <v>10000</v>
      </c>
      <c r="F63" s="54">
        <f>'2024 расх'!F354</f>
        <v>0</v>
      </c>
      <c r="G63" s="54"/>
      <c r="H63" s="54"/>
      <c r="I63" s="54">
        <f>'2024 расх'!G354</f>
        <v>10000</v>
      </c>
      <c r="J63" s="54"/>
      <c r="L63" s="63"/>
      <c r="M63" s="24"/>
    </row>
    <row r="64" spans="1:13" s="23" customFormat="1" ht="28.5" customHeight="1">
      <c r="A64" s="25" t="s">
        <v>42</v>
      </c>
      <c r="B64" s="20">
        <v>2636</v>
      </c>
      <c r="C64" s="21">
        <v>244</v>
      </c>
      <c r="D64" s="21">
        <v>214</v>
      </c>
      <c r="E64" s="32">
        <f t="shared" si="2"/>
        <v>5000</v>
      </c>
      <c r="F64" s="54">
        <f>'2024 расх'!F366</f>
        <v>0</v>
      </c>
      <c r="G64" s="54"/>
      <c r="H64" s="54"/>
      <c r="I64" s="54">
        <f>'2024 расх'!G366</f>
        <v>5000</v>
      </c>
      <c r="J64" s="54"/>
      <c r="L64" s="63"/>
      <c r="M64" s="24"/>
    </row>
    <row r="65" spans="1:13" s="23" customFormat="1" ht="28.5" customHeight="1">
      <c r="A65" s="25" t="s">
        <v>69</v>
      </c>
      <c r="B65" s="15">
        <v>2640</v>
      </c>
      <c r="C65" s="16">
        <v>247</v>
      </c>
      <c r="D65" s="21"/>
      <c r="E65" s="32">
        <f t="shared" si="2"/>
        <v>10128399.996000001</v>
      </c>
      <c r="F65" s="13">
        <f>F66</f>
        <v>10128399.996000001</v>
      </c>
      <c r="G65" s="13"/>
      <c r="H65" s="13"/>
      <c r="I65" s="13">
        <f>I66</f>
        <v>0</v>
      </c>
      <c r="J65" s="54"/>
      <c r="L65" s="63"/>
      <c r="M65" s="24"/>
    </row>
    <row r="66" spans="1:13" s="23" customFormat="1" ht="28.5" customHeight="1">
      <c r="A66" s="25" t="s">
        <v>59</v>
      </c>
      <c r="B66" s="20">
        <v>2641</v>
      </c>
      <c r="C66" s="21">
        <v>247</v>
      </c>
      <c r="D66" s="21">
        <v>223</v>
      </c>
      <c r="E66" s="32">
        <f t="shared" si="2"/>
        <v>10128399.996000001</v>
      </c>
      <c r="F66" s="54">
        <f>'2024 расх'!F207</f>
        <v>10128399.996000001</v>
      </c>
      <c r="G66" s="54"/>
      <c r="H66" s="54"/>
      <c r="I66" s="54">
        <f>'2024 расх'!G206</f>
        <v>0</v>
      </c>
      <c r="J66" s="54"/>
      <c r="L66" s="63"/>
      <c r="M66" s="24"/>
    </row>
    <row r="67" spans="1:13" s="23" customFormat="1" ht="31.5" customHeight="1">
      <c r="A67" s="25" t="s">
        <v>70</v>
      </c>
      <c r="B67" s="20">
        <v>3000</v>
      </c>
      <c r="C67" s="21" t="s">
        <v>20</v>
      </c>
      <c r="D67" s="21"/>
      <c r="E67" s="54"/>
      <c r="F67" s="54"/>
      <c r="G67" s="54"/>
      <c r="H67" s="54"/>
      <c r="I67" s="54"/>
      <c r="J67" s="54"/>
      <c r="M67" s="24"/>
    </row>
    <row r="68" spans="1:13" s="23" customFormat="1" ht="22.5" customHeight="1">
      <c r="A68" s="19" t="s">
        <v>36</v>
      </c>
      <c r="B68" s="276">
        <v>3100</v>
      </c>
      <c r="C68" s="277"/>
      <c r="D68" s="277"/>
      <c r="E68" s="275"/>
      <c r="F68" s="275"/>
      <c r="G68" s="275"/>
      <c r="H68" s="275"/>
      <c r="I68" s="275"/>
      <c r="J68" s="275"/>
      <c r="M68" s="24"/>
    </row>
    <row r="69" spans="1:13" s="23" customFormat="1" ht="32.25" customHeight="1">
      <c r="A69" s="19" t="s">
        <v>71</v>
      </c>
      <c r="B69" s="276"/>
      <c r="C69" s="277"/>
      <c r="D69" s="277"/>
      <c r="E69" s="275"/>
      <c r="F69" s="275"/>
      <c r="G69" s="275"/>
      <c r="H69" s="275"/>
      <c r="I69" s="275"/>
      <c r="J69" s="275"/>
      <c r="M69" s="24"/>
    </row>
    <row r="70" spans="1:13" s="23" customFormat="1" ht="33" customHeight="1">
      <c r="A70" s="25" t="s">
        <v>72</v>
      </c>
      <c r="B70" s="20">
        <v>3200</v>
      </c>
      <c r="C70" s="21"/>
      <c r="D70" s="21"/>
      <c r="E70" s="54"/>
      <c r="F70" s="54"/>
      <c r="G70" s="54"/>
      <c r="H70" s="54"/>
      <c r="I70" s="54"/>
      <c r="J70" s="54"/>
      <c r="M70" s="24"/>
    </row>
    <row r="71" spans="1:13" s="23" customFormat="1" ht="28.5" customHeight="1">
      <c r="A71" s="25" t="s">
        <v>73</v>
      </c>
      <c r="B71" s="20">
        <v>4000</v>
      </c>
      <c r="C71" s="21" t="s">
        <v>20</v>
      </c>
      <c r="D71" s="21"/>
      <c r="E71" s="13"/>
      <c r="F71" s="13"/>
      <c r="G71" s="54"/>
      <c r="H71" s="54"/>
      <c r="I71" s="54"/>
      <c r="J71" s="54"/>
      <c r="M71" s="24"/>
    </row>
    <row r="72" spans="1:13" s="23" customFormat="1" ht="20.25" customHeight="1">
      <c r="A72" s="19" t="s">
        <v>36</v>
      </c>
      <c r="B72" s="276">
        <v>4100</v>
      </c>
      <c r="C72" s="286"/>
      <c r="D72" s="286"/>
      <c r="E72" s="278"/>
      <c r="F72" s="275"/>
      <c r="G72" s="278"/>
      <c r="H72" s="278"/>
      <c r="I72" s="278"/>
      <c r="J72" s="278"/>
      <c r="M72" s="24"/>
    </row>
    <row r="73" spans="1:13" s="23" customFormat="1" ht="33" customHeight="1">
      <c r="A73" s="19" t="s">
        <v>74</v>
      </c>
      <c r="B73" s="276"/>
      <c r="C73" s="286"/>
      <c r="D73" s="286"/>
      <c r="E73" s="278"/>
      <c r="F73" s="275"/>
      <c r="G73" s="278"/>
      <c r="H73" s="278"/>
      <c r="I73" s="278"/>
      <c r="J73" s="278"/>
      <c r="M73" s="24"/>
    </row>
    <row r="74" spans="1:13" s="23" customFormat="1" ht="38.25" customHeight="1">
      <c r="A74" s="25" t="s">
        <v>75</v>
      </c>
      <c r="B74" s="20">
        <v>4200</v>
      </c>
      <c r="C74" s="16"/>
      <c r="D74" s="16"/>
      <c r="E74" s="13"/>
      <c r="F74" s="13"/>
      <c r="G74" s="13"/>
      <c r="H74" s="13"/>
      <c r="I74" s="13"/>
      <c r="J74" s="13"/>
      <c r="M74" s="24"/>
    </row>
    <row r="75" spans="1:13" s="23" customFormat="1" ht="38.25" customHeight="1">
      <c r="A75" s="64"/>
      <c r="B75" s="62"/>
      <c r="C75" s="65"/>
      <c r="D75" s="65"/>
      <c r="E75" s="66"/>
      <c r="F75" s="66"/>
      <c r="G75" s="66"/>
      <c r="H75" s="66"/>
      <c r="I75" s="66"/>
      <c r="J75" s="66"/>
      <c r="M75" s="24"/>
    </row>
    <row r="76" spans="1:10" ht="30.75" customHeight="1">
      <c r="A76" s="67" t="s">
        <v>403</v>
      </c>
      <c r="B76" s="68"/>
      <c r="C76" s="69"/>
      <c r="D76" s="69"/>
      <c r="E76" s="70"/>
      <c r="H76" s="274" t="s">
        <v>404</v>
      </c>
      <c r="I76" s="274"/>
      <c r="J76" s="274"/>
    </row>
    <row r="77" spans="1:9" ht="30.75" customHeight="1">
      <c r="A77" s="71" t="s">
        <v>76</v>
      </c>
      <c r="C77" s="72"/>
      <c r="D77" s="72"/>
      <c r="E77" s="73" t="s">
        <v>77</v>
      </c>
      <c r="I77" s="73" t="s">
        <v>78</v>
      </c>
    </row>
    <row r="78" ht="30.75" customHeight="1">
      <c r="A78" s="71"/>
    </row>
    <row r="79" spans="1:10" ht="30.75" customHeight="1">
      <c r="A79" s="67" t="s">
        <v>79</v>
      </c>
      <c r="B79" s="68"/>
      <c r="C79" s="69"/>
      <c r="D79" s="69"/>
      <c r="E79" s="70"/>
      <c r="H79" s="274" t="s">
        <v>80</v>
      </c>
      <c r="I79" s="274"/>
      <c r="J79" s="274"/>
    </row>
    <row r="80" spans="1:9" ht="30.75" customHeight="1">
      <c r="A80" s="71" t="s">
        <v>76</v>
      </c>
      <c r="C80" s="72"/>
      <c r="D80" s="72"/>
      <c r="E80" s="73" t="s">
        <v>77</v>
      </c>
      <c r="I80" s="73" t="s">
        <v>78</v>
      </c>
    </row>
    <row r="81" ht="30.75" customHeight="1">
      <c r="A81" s="73" t="s">
        <v>81</v>
      </c>
    </row>
    <row r="861" ht="24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2">
    <mergeCell ref="H1:J1"/>
    <mergeCell ref="A2:J2"/>
    <mergeCell ref="A4:A7"/>
    <mergeCell ref="B4:B7"/>
    <mergeCell ref="C4:C7"/>
    <mergeCell ref="D4:D7"/>
    <mergeCell ref="E4:J4"/>
    <mergeCell ref="E5:E7"/>
    <mergeCell ref="F5:J5"/>
    <mergeCell ref="F6:F7"/>
    <mergeCell ref="G6:G7"/>
    <mergeCell ref="H6:H7"/>
    <mergeCell ref="I6:J6"/>
    <mergeCell ref="B12:B13"/>
    <mergeCell ref="C12:C13"/>
    <mergeCell ref="D12:D13"/>
    <mergeCell ref="E12:E13"/>
    <mergeCell ref="F12:F13"/>
    <mergeCell ref="G12:G13"/>
    <mergeCell ref="H12:H13"/>
    <mergeCell ref="B26:B27"/>
    <mergeCell ref="C26:C27"/>
    <mergeCell ref="D26:D27"/>
    <mergeCell ref="E26:E27"/>
    <mergeCell ref="F26:F27"/>
    <mergeCell ref="G26:G27"/>
    <mergeCell ref="G28:G29"/>
    <mergeCell ref="H28:H29"/>
    <mergeCell ref="I12:I13"/>
    <mergeCell ref="J12:J13"/>
    <mergeCell ref="L15:AC15"/>
    <mergeCell ref="N18:AG18"/>
    <mergeCell ref="H68:H69"/>
    <mergeCell ref="I68:I69"/>
    <mergeCell ref="H26:H27"/>
    <mergeCell ref="I26:I27"/>
    <mergeCell ref="J26:J27"/>
    <mergeCell ref="B28:B29"/>
    <mergeCell ref="C28:C29"/>
    <mergeCell ref="D28:D29"/>
    <mergeCell ref="E28:E29"/>
    <mergeCell ref="F28:F29"/>
    <mergeCell ref="I72:I73"/>
    <mergeCell ref="J72:J73"/>
    <mergeCell ref="I28:I29"/>
    <mergeCell ref="J28:J29"/>
    <mergeCell ref="B68:B69"/>
    <mergeCell ref="C68:C69"/>
    <mergeCell ref="D68:D69"/>
    <mergeCell ref="E68:E69"/>
    <mergeCell ref="F68:F69"/>
    <mergeCell ref="G68:G69"/>
    <mergeCell ref="H76:J76"/>
    <mergeCell ref="H79:J79"/>
    <mergeCell ref="J68:J69"/>
    <mergeCell ref="B72:B73"/>
    <mergeCell ref="C72:C73"/>
    <mergeCell ref="D72:D73"/>
    <mergeCell ref="E72:E73"/>
    <mergeCell ref="F72:F73"/>
    <mergeCell ref="G72:G73"/>
    <mergeCell ref="H72:H73"/>
  </mergeCells>
  <hyperlinks>
    <hyperlink ref="A9" location="P861" display="Остаток средств на начало текущего финансового года "/>
    <hyperlink ref="A10" location="P861" display="Остаток средств на конец текущего финансового года"/>
  </hyperlinks>
  <printOptions/>
  <pageMargins left="0.6298611111111111" right="0.2361111111111111" top="1.18125" bottom="0.39375" header="0.5118055555555555" footer="0.5118055555555555"/>
  <pageSetup fitToHeight="2" fitToWidth="1" horizontalDpi="600" verticalDpi="600" orientation="landscape" paperSize="9" scale="29" r:id="rId1"/>
  <rowBreaks count="2" manualBreakCount="2">
    <brk id="25" max="255" man="1"/>
    <brk id="6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61"/>
  <sheetViews>
    <sheetView zoomScale="46" zoomScaleNormal="46" zoomScaleSheetLayoutView="50" zoomScalePageLayoutView="0" workbookViewId="0" topLeftCell="A61">
      <selection activeCell="H76" sqref="H76:J76"/>
    </sheetView>
  </sheetViews>
  <sheetFormatPr defaultColWidth="9.00390625" defaultRowHeight="24" customHeight="1"/>
  <cols>
    <col min="1" max="1" width="227.421875" style="1" customWidth="1"/>
    <col min="2" max="2" width="21.7109375" style="1" customWidth="1"/>
    <col min="3" max="3" width="32.421875" style="2" customWidth="1"/>
    <col min="4" max="4" width="17.57421875" style="2" customWidth="1"/>
    <col min="5" max="5" width="34.57421875" style="1" customWidth="1"/>
    <col min="6" max="6" width="30.57421875" style="1" customWidth="1"/>
    <col min="7" max="7" width="34.8515625" style="1" customWidth="1"/>
    <col min="8" max="8" width="22.8515625" style="1" customWidth="1"/>
    <col min="9" max="9" width="28.140625" style="1" customWidth="1"/>
    <col min="10" max="10" width="21.57421875" style="1" customWidth="1"/>
    <col min="11" max="11" width="11.421875" style="1" customWidth="1"/>
    <col min="12" max="12" width="75.421875" style="1" customWidth="1"/>
    <col min="13" max="13" width="23.57421875" style="3" customWidth="1"/>
    <col min="14" max="17" width="9.00390625" style="1" customWidth="1"/>
    <col min="18" max="18" width="18.140625" style="1" customWidth="1"/>
    <col min="19" max="16384" width="9.00390625" style="1" customWidth="1"/>
  </cols>
  <sheetData>
    <row r="1" spans="1:10" ht="30.75" customHeight="1">
      <c r="A1" s="4"/>
      <c r="B1" s="4"/>
      <c r="C1" s="5"/>
      <c r="D1" s="5"/>
      <c r="E1" s="6"/>
      <c r="F1" s="6"/>
      <c r="G1" s="6"/>
      <c r="H1" s="284" t="s">
        <v>82</v>
      </c>
      <c r="I1" s="284"/>
      <c r="J1" s="284"/>
    </row>
    <row r="2" spans="1:10" ht="29.25" customHeight="1">
      <c r="A2" s="285" t="s">
        <v>90</v>
      </c>
      <c r="B2" s="285"/>
      <c r="C2" s="285"/>
      <c r="D2" s="285"/>
      <c r="E2" s="285"/>
      <c r="F2" s="285"/>
      <c r="G2" s="285"/>
      <c r="H2" s="285"/>
      <c r="I2" s="285"/>
      <c r="J2" s="285"/>
    </row>
    <row r="3" ht="24.75" customHeight="1">
      <c r="F3" s="6"/>
    </row>
    <row r="4" spans="1:10" ht="37.5" customHeight="1">
      <c r="A4" s="281" t="s">
        <v>2</v>
      </c>
      <c r="B4" s="281" t="s">
        <v>3</v>
      </c>
      <c r="C4" s="282" t="s">
        <v>4</v>
      </c>
      <c r="D4" s="282" t="s">
        <v>5</v>
      </c>
      <c r="E4" s="281" t="s">
        <v>6</v>
      </c>
      <c r="F4" s="281"/>
      <c r="G4" s="281"/>
      <c r="H4" s="281"/>
      <c r="I4" s="281"/>
      <c r="J4" s="281"/>
    </row>
    <row r="5" spans="1:10" ht="31.5" customHeight="1">
      <c r="A5" s="281"/>
      <c r="B5" s="281"/>
      <c r="C5" s="282"/>
      <c r="D5" s="282"/>
      <c r="E5" s="281" t="s">
        <v>7</v>
      </c>
      <c r="F5" s="281" t="s">
        <v>8</v>
      </c>
      <c r="G5" s="281"/>
      <c r="H5" s="281"/>
      <c r="I5" s="281"/>
      <c r="J5" s="281"/>
    </row>
    <row r="6" spans="1:10" ht="102.75" customHeight="1">
      <c r="A6" s="281"/>
      <c r="B6" s="281"/>
      <c r="C6" s="282"/>
      <c r="D6" s="282"/>
      <c r="E6" s="281"/>
      <c r="F6" s="281" t="s">
        <v>9</v>
      </c>
      <c r="G6" s="281" t="s">
        <v>10</v>
      </c>
      <c r="H6" s="281" t="s">
        <v>11</v>
      </c>
      <c r="I6" s="281" t="s">
        <v>12</v>
      </c>
      <c r="J6" s="281"/>
    </row>
    <row r="7" spans="1:10" ht="249.75" customHeight="1">
      <c r="A7" s="281"/>
      <c r="B7" s="281"/>
      <c r="C7" s="282"/>
      <c r="D7" s="282"/>
      <c r="E7" s="281"/>
      <c r="F7" s="281"/>
      <c r="G7" s="281"/>
      <c r="H7" s="281"/>
      <c r="I7" s="8" t="s">
        <v>12</v>
      </c>
      <c r="J7" s="8" t="s">
        <v>13</v>
      </c>
    </row>
    <row r="8" spans="1:10" ht="30.75" customHeight="1">
      <c r="A8" s="9">
        <v>1</v>
      </c>
      <c r="B8" s="9">
        <v>2</v>
      </c>
      <c r="C8" s="10">
        <v>3</v>
      </c>
      <c r="D8" s="10"/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</row>
    <row r="9" spans="1:10" ht="30.75" customHeight="1">
      <c r="A9" s="11" t="s">
        <v>14</v>
      </c>
      <c r="B9" s="12" t="s">
        <v>15</v>
      </c>
      <c r="C9" s="10" t="s">
        <v>16</v>
      </c>
      <c r="D9" s="10" t="s">
        <v>16</v>
      </c>
      <c r="E9" s="13">
        <v>0</v>
      </c>
      <c r="F9" s="13">
        <v>0</v>
      </c>
      <c r="G9" s="13">
        <v>0</v>
      </c>
      <c r="H9" s="13"/>
      <c r="I9" s="13">
        <v>0</v>
      </c>
      <c r="J9" s="9"/>
    </row>
    <row r="10" spans="1:10" ht="30.75" customHeight="1">
      <c r="A10" s="11" t="s">
        <v>17</v>
      </c>
      <c r="B10" s="12" t="s">
        <v>18</v>
      </c>
      <c r="C10" s="10" t="s">
        <v>16</v>
      </c>
      <c r="D10" s="10" t="s">
        <v>16</v>
      </c>
      <c r="E10" s="13">
        <f>F10+G10+I10</f>
        <v>0</v>
      </c>
      <c r="F10" s="13">
        <v>0</v>
      </c>
      <c r="G10" s="13">
        <v>0</v>
      </c>
      <c r="H10" s="13"/>
      <c r="I10" s="13">
        <v>0</v>
      </c>
      <c r="J10" s="9"/>
    </row>
    <row r="11" spans="1:13" s="17" customFormat="1" ht="38.25" customHeight="1">
      <c r="A11" s="14" t="s">
        <v>19</v>
      </c>
      <c r="B11" s="15">
        <v>1000</v>
      </c>
      <c r="C11" s="16" t="s">
        <v>20</v>
      </c>
      <c r="D11" s="16"/>
      <c r="E11" s="13">
        <f>F11+G11+I11</f>
        <v>152517900</v>
      </c>
      <c r="F11" s="13">
        <f>F14</f>
        <v>118477900</v>
      </c>
      <c r="G11" s="13">
        <f>G17</f>
        <v>40000</v>
      </c>
      <c r="H11" s="13"/>
      <c r="I11" s="13">
        <f>I14</f>
        <v>34000000</v>
      </c>
      <c r="J11" s="13"/>
      <c r="M11" s="18"/>
    </row>
    <row r="12" spans="1:13" s="23" customFormat="1" ht="27.75" customHeight="1">
      <c r="A12" s="19" t="s">
        <v>8</v>
      </c>
      <c r="B12" s="276">
        <v>1100</v>
      </c>
      <c r="C12" s="277"/>
      <c r="D12" s="277"/>
      <c r="E12" s="278"/>
      <c r="F12" s="276" t="s">
        <v>20</v>
      </c>
      <c r="G12" s="276" t="s">
        <v>20</v>
      </c>
      <c r="H12" s="276" t="s">
        <v>20</v>
      </c>
      <c r="I12" s="289"/>
      <c r="J12" s="276" t="s">
        <v>20</v>
      </c>
      <c r="M12" s="24"/>
    </row>
    <row r="13" spans="1:13" s="23" customFormat="1" ht="32.25" customHeight="1">
      <c r="A13" s="19" t="s">
        <v>21</v>
      </c>
      <c r="B13" s="276"/>
      <c r="C13" s="277"/>
      <c r="D13" s="277"/>
      <c r="E13" s="278"/>
      <c r="F13" s="276"/>
      <c r="G13" s="276"/>
      <c r="H13" s="276"/>
      <c r="I13" s="289"/>
      <c r="J13" s="276"/>
      <c r="M13" s="24"/>
    </row>
    <row r="14" spans="1:13" s="17" customFormat="1" ht="27.75" customHeight="1">
      <c r="A14" s="14" t="s">
        <v>84</v>
      </c>
      <c r="B14" s="15">
        <v>1200</v>
      </c>
      <c r="C14" s="16">
        <v>130</v>
      </c>
      <c r="D14" s="16" t="s">
        <v>16</v>
      </c>
      <c r="E14" s="13">
        <f>F14+I14</f>
        <v>152477900</v>
      </c>
      <c r="F14" s="13">
        <f>F16</f>
        <v>118477900</v>
      </c>
      <c r="G14" s="15" t="s">
        <v>20</v>
      </c>
      <c r="H14" s="15" t="s">
        <v>20</v>
      </c>
      <c r="I14" s="13">
        <f>I15</f>
        <v>34000000</v>
      </c>
      <c r="J14" s="13"/>
      <c r="M14" s="18"/>
    </row>
    <row r="15" spans="1:29" s="23" customFormat="1" ht="63.75" customHeight="1">
      <c r="A15" s="25" t="s">
        <v>23</v>
      </c>
      <c r="B15" s="26">
        <v>1210</v>
      </c>
      <c r="C15" s="21">
        <v>131</v>
      </c>
      <c r="D15" s="21">
        <v>131</v>
      </c>
      <c r="E15" s="13">
        <f>F15+G15+I15</f>
        <v>34000000</v>
      </c>
      <c r="F15" s="27">
        <v>0</v>
      </c>
      <c r="G15" s="27"/>
      <c r="H15" s="28"/>
      <c r="I15" s="27">
        <f>'2025 доходы'!E21+'2025 доходы'!E22</f>
        <v>34000000</v>
      </c>
      <c r="J15" s="1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</row>
    <row r="16" spans="1:29" s="23" customFormat="1" ht="32.25" customHeight="1">
      <c r="A16" s="25" t="s">
        <v>24</v>
      </c>
      <c r="B16" s="26">
        <v>1220</v>
      </c>
      <c r="C16" s="21">
        <v>131</v>
      </c>
      <c r="D16" s="21">
        <v>131</v>
      </c>
      <c r="E16" s="13">
        <f>F16</f>
        <v>118477900</v>
      </c>
      <c r="F16" s="27">
        <f>'2025 доходы'!E19+'2025 доходы'!E20</f>
        <v>118477900</v>
      </c>
      <c r="G16" s="27"/>
      <c r="H16" s="30"/>
      <c r="I16" s="27"/>
      <c r="J16" s="13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13" s="17" customFormat="1" ht="36.75" customHeight="1">
      <c r="A17" s="14" t="s">
        <v>25</v>
      </c>
      <c r="B17" s="31">
        <v>1400</v>
      </c>
      <c r="C17" s="16">
        <v>150</v>
      </c>
      <c r="D17" s="16" t="s">
        <v>16</v>
      </c>
      <c r="E17" s="13">
        <f>SUM(E18)</f>
        <v>40000</v>
      </c>
      <c r="F17" s="15" t="s">
        <v>20</v>
      </c>
      <c r="G17" s="32">
        <f>G18</f>
        <v>40000</v>
      </c>
      <c r="H17" s="15"/>
      <c r="I17" s="15" t="s">
        <v>20</v>
      </c>
      <c r="J17" s="15" t="s">
        <v>20</v>
      </c>
      <c r="M17" s="18"/>
    </row>
    <row r="18" spans="1:33" s="23" customFormat="1" ht="37.5" customHeight="1">
      <c r="A18" s="25" t="s">
        <v>26</v>
      </c>
      <c r="B18" s="26">
        <v>1410</v>
      </c>
      <c r="C18" s="21">
        <v>150</v>
      </c>
      <c r="D18" s="21">
        <v>152</v>
      </c>
      <c r="E18" s="13">
        <f>G18</f>
        <v>40000</v>
      </c>
      <c r="F18" s="20" t="s">
        <v>20</v>
      </c>
      <c r="G18" s="27">
        <f>'2025 доходы'!E34</f>
        <v>40000</v>
      </c>
      <c r="H18" s="20"/>
      <c r="I18" s="20" t="s">
        <v>20</v>
      </c>
      <c r="J18" s="20" t="s">
        <v>20</v>
      </c>
      <c r="M18" s="24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</row>
    <row r="19" spans="1:33" s="23" customFormat="1" ht="68.25" customHeight="1">
      <c r="A19" s="25" t="s">
        <v>27</v>
      </c>
      <c r="B19" s="26">
        <v>1420</v>
      </c>
      <c r="C19" s="21">
        <v>150</v>
      </c>
      <c r="D19" s="21">
        <v>152</v>
      </c>
      <c r="E19" s="13"/>
      <c r="F19" s="20" t="s">
        <v>20</v>
      </c>
      <c r="G19" s="20"/>
      <c r="H19" s="20"/>
      <c r="I19" s="20"/>
      <c r="J19" s="20"/>
      <c r="M19" s="24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13" s="23" customFormat="1" ht="32.25" customHeight="1">
      <c r="A20" s="25" t="s">
        <v>28</v>
      </c>
      <c r="B20" s="26">
        <v>1430</v>
      </c>
      <c r="C20" s="21">
        <v>160</v>
      </c>
      <c r="D20" s="21"/>
      <c r="E20" s="13"/>
      <c r="F20" s="20"/>
      <c r="G20" s="27"/>
      <c r="H20" s="20"/>
      <c r="I20" s="20"/>
      <c r="J20" s="20"/>
      <c r="M20" s="24"/>
    </row>
    <row r="21" spans="1:13" s="23" customFormat="1" ht="55.5" customHeight="1">
      <c r="A21" s="25" t="s">
        <v>29</v>
      </c>
      <c r="B21" s="26">
        <v>1440</v>
      </c>
      <c r="C21" s="21">
        <v>160</v>
      </c>
      <c r="D21" s="21">
        <v>161</v>
      </c>
      <c r="E21" s="13"/>
      <c r="F21" s="20"/>
      <c r="G21" s="20"/>
      <c r="H21" s="20"/>
      <c r="I21" s="20"/>
      <c r="J21" s="20"/>
      <c r="M21" s="24"/>
    </row>
    <row r="22" spans="1:13" s="23" customFormat="1" ht="43.5" customHeight="1">
      <c r="A22" s="25" t="s">
        <v>30</v>
      </c>
      <c r="B22" s="26">
        <v>1450</v>
      </c>
      <c r="C22" s="21">
        <v>160</v>
      </c>
      <c r="D22" s="21">
        <v>162</v>
      </c>
      <c r="E22" s="13"/>
      <c r="F22" s="20"/>
      <c r="G22" s="20"/>
      <c r="H22" s="20"/>
      <c r="I22" s="20"/>
      <c r="J22" s="20"/>
      <c r="M22" s="24"/>
    </row>
    <row r="23" spans="1:13" s="17" customFormat="1" ht="30" customHeight="1">
      <c r="A23" s="14" t="s">
        <v>31</v>
      </c>
      <c r="B23" s="31">
        <v>1900</v>
      </c>
      <c r="C23" s="16" t="s">
        <v>16</v>
      </c>
      <c r="D23" s="16" t="s">
        <v>16</v>
      </c>
      <c r="E23" s="13"/>
      <c r="F23" s="15"/>
      <c r="G23" s="15"/>
      <c r="H23" s="15"/>
      <c r="I23" s="22"/>
      <c r="J23" s="15"/>
      <c r="M23" s="18"/>
    </row>
    <row r="24" spans="1:13" s="17" customFormat="1" ht="36" customHeight="1">
      <c r="A24" s="14" t="s">
        <v>32</v>
      </c>
      <c r="B24" s="31">
        <v>1980</v>
      </c>
      <c r="C24" s="16" t="s">
        <v>16</v>
      </c>
      <c r="D24" s="16" t="s">
        <v>16</v>
      </c>
      <c r="E24" s="13"/>
      <c r="F24" s="15"/>
      <c r="G24" s="15"/>
      <c r="H24" s="15"/>
      <c r="I24" s="15"/>
      <c r="J24" s="15"/>
      <c r="M24" s="18"/>
    </row>
    <row r="25" spans="1:13" s="17" customFormat="1" ht="27" customHeight="1">
      <c r="A25" s="14" t="s">
        <v>33</v>
      </c>
      <c r="B25" s="15">
        <v>2000</v>
      </c>
      <c r="C25" s="16" t="s">
        <v>20</v>
      </c>
      <c r="D25" s="16"/>
      <c r="E25" s="32">
        <f>E26+E37+E43</f>
        <v>152517899.9997099</v>
      </c>
      <c r="F25" s="32">
        <f>F26+F37+F43</f>
        <v>118477899.9997099</v>
      </c>
      <c r="G25" s="32">
        <f>G26+G37+G43</f>
        <v>40000</v>
      </c>
      <c r="H25" s="32"/>
      <c r="I25" s="32">
        <f>I26+I37+I43</f>
        <v>34000000</v>
      </c>
      <c r="J25" s="32"/>
      <c r="M25" s="18"/>
    </row>
    <row r="26" spans="1:13" s="23" customFormat="1" ht="35.25" customHeight="1">
      <c r="A26" s="19" t="s">
        <v>8</v>
      </c>
      <c r="B26" s="290">
        <v>2100</v>
      </c>
      <c r="C26" s="286" t="s">
        <v>34</v>
      </c>
      <c r="D26" s="286"/>
      <c r="E26" s="287">
        <f>F26+G26+I26</f>
        <v>115043299.9997099</v>
      </c>
      <c r="F26" s="287">
        <f>F28+F30+F31+F33+F34+F35</f>
        <v>109853199.9997099</v>
      </c>
      <c r="G26" s="287"/>
      <c r="H26" s="287"/>
      <c r="I26" s="287">
        <f>SUM(I28:I35)</f>
        <v>5190100</v>
      </c>
      <c r="J26" s="288"/>
      <c r="M26" s="24"/>
    </row>
    <row r="27" spans="1:30" s="23" customFormat="1" ht="27" customHeight="1">
      <c r="A27" s="33" t="s">
        <v>35</v>
      </c>
      <c r="B27" s="290"/>
      <c r="C27" s="286"/>
      <c r="D27" s="286"/>
      <c r="E27" s="287"/>
      <c r="F27" s="287"/>
      <c r="G27" s="287"/>
      <c r="H27" s="287"/>
      <c r="I27" s="287"/>
      <c r="J27" s="288"/>
      <c r="M27" s="2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</row>
    <row r="28" spans="1:30" s="23" customFormat="1" ht="25.5" customHeight="1">
      <c r="A28" s="19" t="s">
        <v>36</v>
      </c>
      <c r="B28" s="276">
        <v>2110</v>
      </c>
      <c r="C28" s="277">
        <v>111</v>
      </c>
      <c r="D28" s="277">
        <v>211</v>
      </c>
      <c r="E28" s="280">
        <f>F28+G28+I28</f>
        <v>87472599.9997772</v>
      </c>
      <c r="F28" s="279">
        <f>'расх 2025'!F31</f>
        <v>83972599.9997772</v>
      </c>
      <c r="G28" s="279"/>
      <c r="H28" s="279"/>
      <c r="I28" s="279">
        <f>'расх 2025'!G31</f>
        <v>3500000</v>
      </c>
      <c r="J28" s="280"/>
      <c r="M28" s="2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</row>
    <row r="29" spans="1:30" s="23" customFormat="1" ht="32.25" customHeight="1">
      <c r="A29" s="19" t="s">
        <v>37</v>
      </c>
      <c r="B29" s="276"/>
      <c r="C29" s="277"/>
      <c r="D29" s="277"/>
      <c r="E29" s="280"/>
      <c r="F29" s="279"/>
      <c r="G29" s="279"/>
      <c r="H29" s="279"/>
      <c r="I29" s="279"/>
      <c r="J29" s="280"/>
      <c r="L29" s="35"/>
      <c r="M29" s="24"/>
      <c r="R29" s="36"/>
      <c r="S29" s="37"/>
      <c r="T29" s="37"/>
      <c r="U29" s="38"/>
      <c r="V29" s="38"/>
      <c r="W29" s="38"/>
      <c r="X29" s="38"/>
      <c r="Y29" s="38"/>
      <c r="Z29" s="38"/>
      <c r="AA29" s="39"/>
      <c r="AB29" s="39"/>
      <c r="AC29" s="40"/>
      <c r="AD29" s="34"/>
    </row>
    <row r="30" spans="1:30" s="46" customFormat="1" ht="36.75" customHeight="1">
      <c r="A30" s="41" t="s">
        <v>38</v>
      </c>
      <c r="B30" s="26">
        <v>2120</v>
      </c>
      <c r="C30" s="21">
        <v>111</v>
      </c>
      <c r="D30" s="42">
        <v>266</v>
      </c>
      <c r="E30" s="43">
        <f aca="true" t="shared" si="0" ref="E30:E35">F30+G30+I30</f>
        <v>400000</v>
      </c>
      <c r="F30" s="44">
        <f>'расх 2025'!F42</f>
        <v>400000</v>
      </c>
      <c r="G30" s="44"/>
      <c r="H30" s="44"/>
      <c r="I30" s="44"/>
      <c r="J30" s="45"/>
      <c r="M30" s="47"/>
      <c r="R30" s="48"/>
      <c r="S30" s="37"/>
      <c r="T30" s="37"/>
      <c r="U30" s="38"/>
      <c r="V30" s="38"/>
      <c r="W30" s="38"/>
      <c r="X30" s="38"/>
      <c r="Y30" s="38"/>
      <c r="Z30" s="38"/>
      <c r="AA30" s="39"/>
      <c r="AB30" s="39"/>
      <c r="AC30" s="40"/>
      <c r="AD30" s="49"/>
    </row>
    <row r="31" spans="1:30" s="46" customFormat="1" ht="33" customHeight="1">
      <c r="A31" s="50" t="s">
        <v>39</v>
      </c>
      <c r="B31" s="26">
        <v>2130</v>
      </c>
      <c r="C31" s="21">
        <v>112</v>
      </c>
      <c r="D31" s="42">
        <v>212</v>
      </c>
      <c r="E31" s="43">
        <f t="shared" si="0"/>
        <v>24000</v>
      </c>
      <c r="F31" s="44"/>
      <c r="G31" s="44"/>
      <c r="H31" s="44"/>
      <c r="I31" s="44">
        <f>'расх 2025'!G100</f>
        <v>24000</v>
      </c>
      <c r="J31" s="45"/>
      <c r="M31" s="47"/>
      <c r="R31" s="48"/>
      <c r="S31" s="37"/>
      <c r="T31" s="37"/>
      <c r="U31" s="38"/>
      <c r="V31" s="38"/>
      <c r="W31" s="38"/>
      <c r="X31" s="38"/>
      <c r="Y31" s="38"/>
      <c r="Z31" s="38"/>
      <c r="AA31" s="39"/>
      <c r="AB31" s="39"/>
      <c r="AC31" s="40"/>
      <c r="AD31" s="49"/>
    </row>
    <row r="32" spans="1:30" s="46" customFormat="1" ht="31.5" customHeight="1">
      <c r="A32" s="50" t="s">
        <v>42</v>
      </c>
      <c r="B32" s="26">
        <v>2140</v>
      </c>
      <c r="C32" s="21">
        <v>112</v>
      </c>
      <c r="D32" s="42">
        <v>214</v>
      </c>
      <c r="E32" s="43">
        <f t="shared" si="0"/>
        <v>200000</v>
      </c>
      <c r="F32" s="44"/>
      <c r="G32" s="44"/>
      <c r="H32" s="44"/>
      <c r="I32" s="44">
        <f>'расх 2025'!G108</f>
        <v>200000</v>
      </c>
      <c r="J32" s="45"/>
      <c r="M32" s="47"/>
      <c r="R32" s="48"/>
      <c r="S32" s="37"/>
      <c r="T32" s="37"/>
      <c r="U32" s="38"/>
      <c r="V32" s="38"/>
      <c r="W32" s="38"/>
      <c r="X32" s="38"/>
      <c r="Y32" s="38"/>
      <c r="Z32" s="38"/>
      <c r="AA32" s="39"/>
      <c r="AB32" s="39"/>
      <c r="AC32" s="40"/>
      <c r="AD32" s="49"/>
    </row>
    <row r="33" spans="1:30" s="46" customFormat="1" ht="36" customHeight="1">
      <c r="A33" s="50" t="s">
        <v>41</v>
      </c>
      <c r="B33" s="26">
        <v>2150</v>
      </c>
      <c r="C33" s="21">
        <v>112</v>
      </c>
      <c r="D33" s="42">
        <v>226</v>
      </c>
      <c r="E33" s="43">
        <f t="shared" si="0"/>
        <v>376000</v>
      </c>
      <c r="F33" s="44">
        <f>'расх 2025'!F118</f>
        <v>0</v>
      </c>
      <c r="G33" s="44"/>
      <c r="H33" s="44"/>
      <c r="I33" s="44">
        <f>'расх 2025'!G120</f>
        <v>376000</v>
      </c>
      <c r="J33" s="45"/>
      <c r="M33" s="47"/>
      <c r="R33" s="36"/>
      <c r="S33" s="37"/>
      <c r="T33" s="37"/>
      <c r="U33" s="38"/>
      <c r="V33" s="38"/>
      <c r="W33" s="38"/>
      <c r="X33" s="38"/>
      <c r="Y33" s="38"/>
      <c r="Z33" s="38"/>
      <c r="AA33" s="39"/>
      <c r="AB33" s="39"/>
      <c r="AC33" s="40"/>
      <c r="AD33" s="49"/>
    </row>
    <row r="34" spans="1:30" s="46" customFormat="1" ht="36.75" customHeight="1">
      <c r="A34" s="41" t="s">
        <v>38</v>
      </c>
      <c r="B34" s="26">
        <v>2160</v>
      </c>
      <c r="C34" s="21">
        <v>112</v>
      </c>
      <c r="D34" s="42">
        <v>266</v>
      </c>
      <c r="E34" s="43">
        <f t="shared" si="0"/>
        <v>0</v>
      </c>
      <c r="F34" s="44"/>
      <c r="G34" s="44"/>
      <c r="H34" s="44"/>
      <c r="I34" s="44"/>
      <c r="J34" s="45"/>
      <c r="M34" s="47"/>
      <c r="R34" s="36"/>
      <c r="S34" s="37"/>
      <c r="T34" s="37"/>
      <c r="U34" s="38"/>
      <c r="V34" s="38"/>
      <c r="W34" s="38"/>
      <c r="X34" s="38"/>
      <c r="Y34" s="38"/>
      <c r="Z34" s="38"/>
      <c r="AA34" s="39"/>
      <c r="AB34" s="39"/>
      <c r="AC34" s="40"/>
      <c r="AD34" s="49"/>
    </row>
    <row r="35" spans="1:30" s="46" customFormat="1" ht="35.25" customHeight="1">
      <c r="A35" s="41" t="s">
        <v>43</v>
      </c>
      <c r="B35" s="26">
        <v>2170</v>
      </c>
      <c r="C35" s="21">
        <v>119</v>
      </c>
      <c r="D35" s="42">
        <v>213</v>
      </c>
      <c r="E35" s="43">
        <f t="shared" si="0"/>
        <v>26570699.999932714</v>
      </c>
      <c r="F35" s="44">
        <f>'расх 2025'!F80</f>
        <v>25480599.999932714</v>
      </c>
      <c r="G35" s="44"/>
      <c r="H35" s="44"/>
      <c r="I35" s="44">
        <f>'расх 2025'!G80</f>
        <v>1090100</v>
      </c>
      <c r="J35" s="45"/>
      <c r="M35" s="47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</row>
    <row r="36" spans="1:30" s="46" customFormat="1" ht="38.25" customHeight="1">
      <c r="A36" s="41" t="s">
        <v>44</v>
      </c>
      <c r="B36" s="31">
        <v>2200</v>
      </c>
      <c r="C36" s="16" t="s">
        <v>34</v>
      </c>
      <c r="D36" s="42"/>
      <c r="E36" s="43"/>
      <c r="F36" s="44"/>
      <c r="G36" s="44"/>
      <c r="H36" s="44"/>
      <c r="I36" s="44"/>
      <c r="J36" s="45"/>
      <c r="M36" s="47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</row>
    <row r="37" spans="1:13" s="17" customFormat="1" ht="34.5" customHeight="1">
      <c r="A37" s="51" t="s">
        <v>45</v>
      </c>
      <c r="B37" s="15">
        <v>2300</v>
      </c>
      <c r="C37" s="16" t="s">
        <v>34</v>
      </c>
      <c r="D37" s="52"/>
      <c r="E37" s="43">
        <f>SUM(E38:E40)</f>
        <v>280000</v>
      </c>
      <c r="F37" s="43">
        <f>SUM(F38:F40)</f>
        <v>0</v>
      </c>
      <c r="G37" s="53"/>
      <c r="H37" s="53"/>
      <c r="I37" s="43">
        <f>SUM(I38:I40)</f>
        <v>280000</v>
      </c>
      <c r="J37" s="13"/>
      <c r="M37" s="18"/>
    </row>
    <row r="38" spans="1:13" s="23" customFormat="1" ht="42" customHeight="1">
      <c r="A38" s="51" t="s">
        <v>46</v>
      </c>
      <c r="B38" s="20">
        <v>2310</v>
      </c>
      <c r="C38" s="21">
        <v>851</v>
      </c>
      <c r="D38" s="42">
        <v>291</v>
      </c>
      <c r="E38" s="43">
        <f>F38+G38+I38</f>
        <v>0</v>
      </c>
      <c r="F38" s="54"/>
      <c r="G38" s="54"/>
      <c r="H38" s="54"/>
      <c r="I38" s="54"/>
      <c r="J38" s="13"/>
      <c r="M38" s="24"/>
    </row>
    <row r="39" spans="1:13" s="23" customFormat="1" ht="36.75" customHeight="1">
      <c r="A39" s="51" t="s">
        <v>46</v>
      </c>
      <c r="B39" s="20">
        <v>2320</v>
      </c>
      <c r="C39" s="21">
        <v>852</v>
      </c>
      <c r="D39" s="42">
        <v>291</v>
      </c>
      <c r="E39" s="43">
        <f>F39+G39+I39</f>
        <v>15000</v>
      </c>
      <c r="F39" s="54">
        <f>'расх 2025'!F132</f>
        <v>0</v>
      </c>
      <c r="G39" s="54"/>
      <c r="H39" s="54"/>
      <c r="I39" s="54">
        <f>'расх 2025'!G132</f>
        <v>15000</v>
      </c>
      <c r="J39" s="13"/>
      <c r="M39" s="24"/>
    </row>
    <row r="40" spans="1:13" s="23" customFormat="1" ht="33.75" customHeight="1">
      <c r="A40" s="51" t="s">
        <v>47</v>
      </c>
      <c r="B40" s="20">
        <v>2330</v>
      </c>
      <c r="C40" s="21">
        <v>853</v>
      </c>
      <c r="D40" s="42" t="s">
        <v>87</v>
      </c>
      <c r="E40" s="43">
        <f>F40+G40+I40</f>
        <v>265000</v>
      </c>
      <c r="F40" s="54"/>
      <c r="G40" s="54"/>
      <c r="H40" s="54"/>
      <c r="I40" s="54">
        <f>'расх 2025'!G133+'расх 2025'!G134+'расх 2025'!G135</f>
        <v>265000</v>
      </c>
      <c r="J40" s="13"/>
      <c r="M40" s="24"/>
    </row>
    <row r="41" spans="1:13" s="23" customFormat="1" ht="31.5" customHeight="1">
      <c r="A41" s="25" t="s">
        <v>49</v>
      </c>
      <c r="B41" s="55">
        <v>2400</v>
      </c>
      <c r="C41" s="16" t="s">
        <v>16</v>
      </c>
      <c r="D41" s="16"/>
      <c r="E41" s="13"/>
      <c r="F41" s="13"/>
      <c r="G41" s="13"/>
      <c r="H41" s="13"/>
      <c r="I41" s="13"/>
      <c r="J41" s="13"/>
      <c r="M41" s="24"/>
    </row>
    <row r="42" spans="1:13" s="23" customFormat="1" ht="28.5" customHeight="1">
      <c r="A42" s="25" t="s">
        <v>50</v>
      </c>
      <c r="B42" s="20">
        <v>2500</v>
      </c>
      <c r="C42" s="16" t="s">
        <v>16</v>
      </c>
      <c r="D42" s="16"/>
      <c r="E42" s="13"/>
      <c r="F42" s="13"/>
      <c r="G42" s="13"/>
      <c r="H42" s="13"/>
      <c r="I42" s="13"/>
      <c r="J42" s="13"/>
      <c r="M42" s="24"/>
    </row>
    <row r="43" spans="1:13" s="58" customFormat="1" ht="27" customHeight="1">
      <c r="A43" s="56" t="s">
        <v>51</v>
      </c>
      <c r="B43" s="31">
        <v>2600</v>
      </c>
      <c r="C43" s="16" t="s">
        <v>20</v>
      </c>
      <c r="D43" s="16"/>
      <c r="E43" s="57">
        <f>E44+E48+E65</f>
        <v>37194600</v>
      </c>
      <c r="F43" s="57">
        <f>F44+F48+F65</f>
        <v>8624700</v>
      </c>
      <c r="G43" s="57">
        <f>G44+G48+G65</f>
        <v>40000</v>
      </c>
      <c r="H43" s="57">
        <f>H44+H48+H65</f>
        <v>0</v>
      </c>
      <c r="I43" s="57">
        <f>I44+I48+I65</f>
        <v>28529900</v>
      </c>
      <c r="J43" s="57"/>
      <c r="M43" s="59"/>
    </row>
    <row r="44" spans="1:13" s="58" customFormat="1" ht="51" customHeight="1">
      <c r="A44" s="50" t="s">
        <v>52</v>
      </c>
      <c r="B44" s="31">
        <v>2610</v>
      </c>
      <c r="C44" s="16">
        <v>243</v>
      </c>
      <c r="D44" s="16"/>
      <c r="E44" s="57">
        <f>SUM(E45:E47)</f>
        <v>1000000</v>
      </c>
      <c r="F44" s="57"/>
      <c r="G44" s="57">
        <f>SUM(G45:G47)</f>
        <v>0</v>
      </c>
      <c r="H44" s="57"/>
      <c r="I44" s="57">
        <f>SUM(I45:I47)</f>
        <v>1000000</v>
      </c>
      <c r="J44" s="57"/>
      <c r="M44" s="59"/>
    </row>
    <row r="45" spans="1:13" s="23" customFormat="1" ht="53.25" customHeight="1">
      <c r="A45" s="25" t="s">
        <v>53</v>
      </c>
      <c r="B45" s="20">
        <v>2611</v>
      </c>
      <c r="C45" s="21">
        <v>243</v>
      </c>
      <c r="D45" s="21">
        <v>225</v>
      </c>
      <c r="E45" s="13">
        <f>F45+G45+I45</f>
        <v>0</v>
      </c>
      <c r="F45" s="54"/>
      <c r="G45" s="54"/>
      <c r="H45" s="54"/>
      <c r="I45" s="54">
        <v>0</v>
      </c>
      <c r="J45" s="13"/>
      <c r="M45" s="24"/>
    </row>
    <row r="46" spans="1:13" s="23" customFormat="1" ht="32.25" customHeight="1">
      <c r="A46" s="25" t="s">
        <v>54</v>
      </c>
      <c r="B46" s="20">
        <v>2612</v>
      </c>
      <c r="C46" s="21">
        <v>243</v>
      </c>
      <c r="D46" s="21">
        <v>228</v>
      </c>
      <c r="E46" s="13">
        <f>F46+G46+I46</f>
        <v>1000000</v>
      </c>
      <c r="F46" s="54"/>
      <c r="G46" s="54"/>
      <c r="H46" s="54"/>
      <c r="I46" s="54">
        <f>'расх 2025'!G154</f>
        <v>1000000</v>
      </c>
      <c r="J46" s="13"/>
      <c r="M46" s="24"/>
    </row>
    <row r="47" spans="1:13" s="23" customFormat="1" ht="32.25" customHeight="1">
      <c r="A47" s="25" t="s">
        <v>55</v>
      </c>
      <c r="B47" s="20">
        <v>2613</v>
      </c>
      <c r="C47" s="21">
        <v>243</v>
      </c>
      <c r="D47" s="21">
        <v>310</v>
      </c>
      <c r="E47" s="13">
        <f>F47+G47+I47</f>
        <v>0</v>
      </c>
      <c r="F47" s="54"/>
      <c r="G47" s="54"/>
      <c r="H47" s="54"/>
      <c r="I47" s="54"/>
      <c r="J47" s="13"/>
      <c r="M47" s="24"/>
    </row>
    <row r="48" spans="1:13" s="23" customFormat="1" ht="64.5" customHeight="1">
      <c r="A48" s="60" t="s">
        <v>56</v>
      </c>
      <c r="B48" s="61" t="s">
        <v>57</v>
      </c>
      <c r="C48" s="61">
        <v>244</v>
      </c>
      <c r="D48" s="21"/>
      <c r="E48" s="13">
        <f>SUM(E49:E64)</f>
        <v>30217000.004</v>
      </c>
      <c r="F48" s="13">
        <f>SUM(F49:F64)</f>
        <v>2647100.0039999997</v>
      </c>
      <c r="G48" s="13">
        <f>SUM(G49:G63)</f>
        <v>40000</v>
      </c>
      <c r="H48" s="13"/>
      <c r="I48" s="13">
        <f>SUM(I49:I64)</f>
        <v>27529900</v>
      </c>
      <c r="J48" s="13"/>
      <c r="M48" s="24"/>
    </row>
    <row r="49" spans="1:13" s="23" customFormat="1" ht="59.25" customHeight="1">
      <c r="A49" s="25" t="s">
        <v>58</v>
      </c>
      <c r="B49" s="20">
        <v>2621</v>
      </c>
      <c r="C49" s="21">
        <v>244</v>
      </c>
      <c r="D49" s="21">
        <v>221</v>
      </c>
      <c r="E49" s="13">
        <f aca="true" t="shared" si="1" ref="E49:E56">F49+G49+I49</f>
        <v>268300</v>
      </c>
      <c r="F49" s="54">
        <f>'расх 2025'!F169</f>
        <v>0</v>
      </c>
      <c r="G49" s="54"/>
      <c r="H49" s="54"/>
      <c r="I49" s="54">
        <f>'расх 2025'!G169</f>
        <v>268300</v>
      </c>
      <c r="J49" s="13"/>
      <c r="M49" s="24"/>
    </row>
    <row r="50" spans="1:13" s="23" customFormat="1" ht="39.75" customHeight="1">
      <c r="A50" s="25" t="s">
        <v>40</v>
      </c>
      <c r="B50" s="20">
        <v>2622</v>
      </c>
      <c r="C50" s="21">
        <v>244</v>
      </c>
      <c r="D50" s="21">
        <v>222</v>
      </c>
      <c r="E50" s="13">
        <f t="shared" si="1"/>
        <v>209000</v>
      </c>
      <c r="F50" s="54">
        <f>'расх 2025'!F180</f>
        <v>0</v>
      </c>
      <c r="G50" s="54"/>
      <c r="H50" s="54"/>
      <c r="I50" s="54">
        <f>'расх 2025'!G180</f>
        <v>209000</v>
      </c>
      <c r="J50" s="13"/>
      <c r="M50" s="24"/>
    </row>
    <row r="51" spans="1:13" s="23" customFormat="1" ht="36.75" customHeight="1">
      <c r="A51" s="25" t="s">
        <v>59</v>
      </c>
      <c r="B51" s="20">
        <v>2623</v>
      </c>
      <c r="C51" s="21">
        <v>244</v>
      </c>
      <c r="D51" s="21">
        <v>223</v>
      </c>
      <c r="E51" s="13">
        <f t="shared" si="1"/>
        <v>2647100.0039999997</v>
      </c>
      <c r="F51" s="54">
        <f>'расх 2025'!F192</f>
        <v>2647100.0039999997</v>
      </c>
      <c r="G51" s="54"/>
      <c r="H51" s="54"/>
      <c r="I51" s="54">
        <f>'расх 2025'!G190</f>
        <v>0</v>
      </c>
      <c r="J51" s="13"/>
      <c r="M51" s="24"/>
    </row>
    <row r="52" spans="1:13" s="23" customFormat="1" ht="33" customHeight="1">
      <c r="A52" s="25" t="s">
        <v>60</v>
      </c>
      <c r="B52" s="20">
        <v>2624</v>
      </c>
      <c r="C52" s="21">
        <v>244</v>
      </c>
      <c r="D52" s="21">
        <v>225</v>
      </c>
      <c r="E52" s="13">
        <f t="shared" si="1"/>
        <v>5136400</v>
      </c>
      <c r="F52" s="54">
        <f>'расх 2025'!F230</f>
        <v>0</v>
      </c>
      <c r="G52" s="54"/>
      <c r="H52" s="54"/>
      <c r="I52" s="54">
        <f>'расх 2025'!G230</f>
        <v>5136400</v>
      </c>
      <c r="J52" s="13"/>
      <c r="M52" s="24"/>
    </row>
    <row r="53" spans="1:13" s="23" customFormat="1" ht="31.5" customHeight="1">
      <c r="A53" s="25" t="s">
        <v>41</v>
      </c>
      <c r="B53" s="20">
        <v>2625</v>
      </c>
      <c r="C53" s="21">
        <v>244</v>
      </c>
      <c r="D53" s="21">
        <v>226</v>
      </c>
      <c r="E53" s="13">
        <f t="shared" si="1"/>
        <v>1232500</v>
      </c>
      <c r="F53" s="54">
        <f>'расх 2025'!F250</f>
        <v>0</v>
      </c>
      <c r="G53" s="54">
        <f>'расх иные 2025'!F28</f>
        <v>40000</v>
      </c>
      <c r="H53" s="54"/>
      <c r="I53" s="54">
        <f>'расх 2025'!G250</f>
        <v>1192500</v>
      </c>
      <c r="J53" s="13"/>
      <c r="M53" s="24"/>
    </row>
    <row r="54" spans="1:13" s="23" customFormat="1" ht="31.5" customHeight="1">
      <c r="A54" s="25" t="s">
        <v>61</v>
      </c>
      <c r="B54" s="20">
        <v>2626</v>
      </c>
      <c r="C54" s="21">
        <v>244</v>
      </c>
      <c r="D54" s="21">
        <v>227</v>
      </c>
      <c r="E54" s="13">
        <f t="shared" si="1"/>
        <v>97000</v>
      </c>
      <c r="F54" s="54">
        <f>'расх 2025'!F261</f>
        <v>0</v>
      </c>
      <c r="G54" s="54"/>
      <c r="H54" s="54"/>
      <c r="I54" s="54">
        <f>'расх 2025'!G261</f>
        <v>97000</v>
      </c>
      <c r="J54" s="13"/>
      <c r="M54" s="24"/>
    </row>
    <row r="55" spans="1:13" s="23" customFormat="1" ht="36" customHeight="1">
      <c r="A55" s="25" t="s">
        <v>54</v>
      </c>
      <c r="B55" s="20">
        <v>2627</v>
      </c>
      <c r="C55" s="21">
        <v>244</v>
      </c>
      <c r="D55" s="21">
        <v>228</v>
      </c>
      <c r="E55" s="13">
        <f t="shared" si="1"/>
        <v>0</v>
      </c>
      <c r="F55" s="54"/>
      <c r="G55" s="54"/>
      <c r="H55" s="54"/>
      <c r="I55" s="54"/>
      <c r="J55" s="13"/>
      <c r="M55" s="24"/>
    </row>
    <row r="56" spans="1:13" s="23" customFormat="1" ht="31.5" customHeight="1">
      <c r="A56" s="25" t="s">
        <v>55</v>
      </c>
      <c r="B56" s="20">
        <v>2628</v>
      </c>
      <c r="C56" s="21">
        <v>244</v>
      </c>
      <c r="D56" s="21">
        <v>310</v>
      </c>
      <c r="E56" s="13">
        <f t="shared" si="1"/>
        <v>1000000</v>
      </c>
      <c r="F56" s="54">
        <f>'расх 2025'!F274</f>
        <v>0</v>
      </c>
      <c r="G56" s="54"/>
      <c r="H56" s="54"/>
      <c r="I56" s="54">
        <f>'расх 2025'!G274</f>
        <v>1000000</v>
      </c>
      <c r="J56" s="13"/>
      <c r="M56" s="24"/>
    </row>
    <row r="57" spans="1:13" s="23" customFormat="1" ht="37.5" customHeight="1">
      <c r="A57" s="25" t="s">
        <v>62</v>
      </c>
      <c r="B57" s="20">
        <v>2629</v>
      </c>
      <c r="C57" s="21">
        <v>244</v>
      </c>
      <c r="D57" s="21">
        <v>341</v>
      </c>
      <c r="E57" s="32">
        <f aca="true" t="shared" si="2" ref="E57:E66">F57+G57+H57+I57</f>
        <v>1325000</v>
      </c>
      <c r="F57" s="54">
        <f>'расх 2025'!F286</f>
        <v>0</v>
      </c>
      <c r="G57" s="54"/>
      <c r="H57" s="54"/>
      <c r="I57" s="54">
        <f>'расх 2025'!G286</f>
        <v>1325000</v>
      </c>
      <c r="J57" s="54"/>
      <c r="L57" s="62"/>
      <c r="M57" s="24"/>
    </row>
    <row r="58" spans="1:13" s="23" customFormat="1" ht="33" customHeight="1">
      <c r="A58" s="25" t="s">
        <v>63</v>
      </c>
      <c r="B58" s="20">
        <v>2630</v>
      </c>
      <c r="C58" s="21">
        <v>244</v>
      </c>
      <c r="D58" s="21">
        <v>342</v>
      </c>
      <c r="E58" s="32">
        <f t="shared" si="2"/>
        <v>14862000</v>
      </c>
      <c r="F58" s="54">
        <f>'расх 2025'!F295</f>
        <v>0</v>
      </c>
      <c r="G58" s="54"/>
      <c r="H58" s="54"/>
      <c r="I58" s="54">
        <f>'расх 2025'!G295</f>
        <v>14862000</v>
      </c>
      <c r="J58" s="54"/>
      <c r="L58" s="63"/>
      <c r="M58" s="24"/>
    </row>
    <row r="59" spans="1:13" s="23" customFormat="1" ht="30" customHeight="1">
      <c r="A59" s="25" t="s">
        <v>64</v>
      </c>
      <c r="B59" s="20">
        <v>2631</v>
      </c>
      <c r="C59" s="21">
        <v>244</v>
      </c>
      <c r="D59" s="21">
        <v>343</v>
      </c>
      <c r="E59" s="32">
        <f t="shared" si="2"/>
        <v>400000</v>
      </c>
      <c r="F59" s="54">
        <f>'расх 2025'!F306</f>
        <v>0</v>
      </c>
      <c r="G59" s="54"/>
      <c r="H59" s="54"/>
      <c r="I59" s="54">
        <f>'расх 2025'!G306</f>
        <v>400000</v>
      </c>
      <c r="J59" s="54"/>
      <c r="L59" s="63"/>
      <c r="M59" s="24"/>
    </row>
    <row r="60" spans="1:13" s="23" customFormat="1" ht="33.75" customHeight="1">
      <c r="A60" s="25" t="s">
        <v>65</v>
      </c>
      <c r="B60" s="20">
        <v>2632</v>
      </c>
      <c r="C60" s="21">
        <v>244</v>
      </c>
      <c r="D60" s="21">
        <v>344</v>
      </c>
      <c r="E60" s="32">
        <f t="shared" si="2"/>
        <v>575000</v>
      </c>
      <c r="F60" s="54">
        <f>'расх 2025'!F315</f>
        <v>0</v>
      </c>
      <c r="G60" s="54"/>
      <c r="H60" s="54"/>
      <c r="I60" s="54">
        <f>'расх 2025'!G315</f>
        <v>575000</v>
      </c>
      <c r="J60" s="54"/>
      <c r="L60" s="63"/>
      <c r="M60" s="24"/>
    </row>
    <row r="61" spans="1:13" s="23" customFormat="1" ht="30" customHeight="1">
      <c r="A61" s="25" t="s">
        <v>66</v>
      </c>
      <c r="B61" s="20">
        <v>2633</v>
      </c>
      <c r="C61" s="21">
        <v>244</v>
      </c>
      <c r="D61" s="21">
        <v>345</v>
      </c>
      <c r="E61" s="32">
        <f t="shared" si="2"/>
        <v>994700</v>
      </c>
      <c r="F61" s="54">
        <f>'расх 2025'!F328</f>
        <v>0</v>
      </c>
      <c r="G61" s="54"/>
      <c r="H61" s="54"/>
      <c r="I61" s="54">
        <f>'расх 2025'!G328</f>
        <v>994700</v>
      </c>
      <c r="J61" s="54"/>
      <c r="L61" s="63"/>
      <c r="M61" s="24"/>
    </row>
    <row r="62" spans="1:13" s="23" customFormat="1" ht="32.25" customHeight="1">
      <c r="A62" s="25" t="s">
        <v>67</v>
      </c>
      <c r="B62" s="20">
        <v>2634</v>
      </c>
      <c r="C62" s="21">
        <v>244</v>
      </c>
      <c r="D62" s="21">
        <v>346</v>
      </c>
      <c r="E62" s="32">
        <f t="shared" si="2"/>
        <v>1455000</v>
      </c>
      <c r="F62" s="54">
        <f>'расх 2025'!F345</f>
        <v>0</v>
      </c>
      <c r="G62" s="54"/>
      <c r="H62" s="54"/>
      <c r="I62" s="54">
        <f>'расх 2025'!G345</f>
        <v>1455000</v>
      </c>
      <c r="J62" s="54"/>
      <c r="L62" s="63"/>
      <c r="M62" s="24"/>
    </row>
    <row r="63" spans="1:13" s="23" customFormat="1" ht="28.5" customHeight="1">
      <c r="A63" s="25" t="s">
        <v>68</v>
      </c>
      <c r="B63" s="20">
        <v>2635</v>
      </c>
      <c r="C63" s="21">
        <v>244</v>
      </c>
      <c r="D63" s="21">
        <v>349</v>
      </c>
      <c r="E63" s="32">
        <f t="shared" si="2"/>
        <v>10000</v>
      </c>
      <c r="F63" s="54">
        <f>'расх 2025'!F354</f>
        <v>0</v>
      </c>
      <c r="G63" s="54"/>
      <c r="H63" s="54"/>
      <c r="I63" s="54">
        <f>'расх 2025'!G354</f>
        <v>10000</v>
      </c>
      <c r="J63" s="54"/>
      <c r="L63" s="63"/>
      <c r="M63" s="24"/>
    </row>
    <row r="64" spans="1:13" s="23" customFormat="1" ht="28.5" customHeight="1">
      <c r="A64" s="25" t="s">
        <v>42</v>
      </c>
      <c r="B64" s="20">
        <v>2636</v>
      </c>
      <c r="C64" s="21">
        <v>244</v>
      </c>
      <c r="D64" s="21">
        <v>214</v>
      </c>
      <c r="E64" s="32">
        <f t="shared" si="2"/>
        <v>5000</v>
      </c>
      <c r="F64" s="54">
        <f>'расх 2025'!F366</f>
        <v>0</v>
      </c>
      <c r="G64" s="54"/>
      <c r="H64" s="54"/>
      <c r="I64" s="54">
        <f>'расх 2025'!G366</f>
        <v>5000</v>
      </c>
      <c r="J64" s="54"/>
      <c r="L64" s="63"/>
      <c r="M64" s="24"/>
    </row>
    <row r="65" spans="1:13" s="23" customFormat="1" ht="28.5" customHeight="1">
      <c r="A65" s="25" t="s">
        <v>69</v>
      </c>
      <c r="B65" s="15">
        <v>2640</v>
      </c>
      <c r="C65" s="16">
        <v>247</v>
      </c>
      <c r="D65" s="21"/>
      <c r="E65" s="32">
        <f t="shared" si="2"/>
        <v>5977599.995999999</v>
      </c>
      <c r="F65" s="13">
        <f>F66</f>
        <v>5977599.995999999</v>
      </c>
      <c r="G65" s="13"/>
      <c r="H65" s="13"/>
      <c r="I65" s="13">
        <f>I66</f>
        <v>0</v>
      </c>
      <c r="J65" s="54"/>
      <c r="L65" s="63"/>
      <c r="M65" s="24"/>
    </row>
    <row r="66" spans="1:13" s="23" customFormat="1" ht="28.5" customHeight="1">
      <c r="A66" s="25" t="s">
        <v>59</v>
      </c>
      <c r="B66" s="20">
        <v>2641</v>
      </c>
      <c r="C66" s="21">
        <v>247</v>
      </c>
      <c r="D66" s="21">
        <v>223</v>
      </c>
      <c r="E66" s="32">
        <f t="shared" si="2"/>
        <v>5977599.995999999</v>
      </c>
      <c r="F66" s="54">
        <f>'расх 2025'!F207</f>
        <v>5977599.995999999</v>
      </c>
      <c r="G66" s="54"/>
      <c r="H66" s="54"/>
      <c r="I66" s="54">
        <f>'расх 2025'!G207</f>
        <v>0</v>
      </c>
      <c r="J66" s="54"/>
      <c r="L66" s="63"/>
      <c r="M66" s="24"/>
    </row>
    <row r="67" spans="1:13" s="23" customFormat="1" ht="31.5" customHeight="1">
      <c r="A67" s="25" t="s">
        <v>70</v>
      </c>
      <c r="B67" s="20">
        <v>3000</v>
      </c>
      <c r="C67" s="21" t="s">
        <v>20</v>
      </c>
      <c r="D67" s="21"/>
      <c r="E67" s="54"/>
      <c r="F67" s="54"/>
      <c r="G67" s="54"/>
      <c r="H67" s="54"/>
      <c r="I67" s="54"/>
      <c r="J67" s="54"/>
      <c r="M67" s="24"/>
    </row>
    <row r="68" spans="1:13" s="23" customFormat="1" ht="22.5" customHeight="1">
      <c r="A68" s="19" t="s">
        <v>36</v>
      </c>
      <c r="B68" s="276">
        <v>3100</v>
      </c>
      <c r="C68" s="277"/>
      <c r="D68" s="277"/>
      <c r="E68" s="275"/>
      <c r="F68" s="275"/>
      <c r="G68" s="275"/>
      <c r="H68" s="275"/>
      <c r="I68" s="275"/>
      <c r="J68" s="275"/>
      <c r="M68" s="24"/>
    </row>
    <row r="69" spans="1:13" s="23" customFormat="1" ht="32.25" customHeight="1">
      <c r="A69" s="19" t="s">
        <v>71</v>
      </c>
      <c r="B69" s="276"/>
      <c r="C69" s="277"/>
      <c r="D69" s="277"/>
      <c r="E69" s="275"/>
      <c r="F69" s="275"/>
      <c r="G69" s="275"/>
      <c r="H69" s="275"/>
      <c r="I69" s="275"/>
      <c r="J69" s="275"/>
      <c r="M69" s="24"/>
    </row>
    <row r="70" spans="1:13" s="23" customFormat="1" ht="33" customHeight="1">
      <c r="A70" s="25" t="s">
        <v>72</v>
      </c>
      <c r="B70" s="20">
        <v>3200</v>
      </c>
      <c r="C70" s="21"/>
      <c r="D70" s="21"/>
      <c r="E70" s="54"/>
      <c r="F70" s="54"/>
      <c r="G70" s="54"/>
      <c r="H70" s="54"/>
      <c r="I70" s="54"/>
      <c r="J70" s="54"/>
      <c r="M70" s="24"/>
    </row>
    <row r="71" spans="1:13" s="23" customFormat="1" ht="28.5" customHeight="1">
      <c r="A71" s="25" t="s">
        <v>73</v>
      </c>
      <c r="B71" s="20">
        <v>4000</v>
      </c>
      <c r="C71" s="21" t="s">
        <v>20</v>
      </c>
      <c r="D71" s="21"/>
      <c r="E71" s="13"/>
      <c r="F71" s="13"/>
      <c r="G71" s="54"/>
      <c r="H71" s="54"/>
      <c r="I71" s="54"/>
      <c r="J71" s="54"/>
      <c r="M71" s="24"/>
    </row>
    <row r="72" spans="1:13" s="23" customFormat="1" ht="20.25" customHeight="1">
      <c r="A72" s="19" t="s">
        <v>36</v>
      </c>
      <c r="B72" s="276">
        <v>4100</v>
      </c>
      <c r="C72" s="286"/>
      <c r="D72" s="286"/>
      <c r="E72" s="278"/>
      <c r="F72" s="275"/>
      <c r="G72" s="278"/>
      <c r="H72" s="278"/>
      <c r="I72" s="278"/>
      <c r="J72" s="278"/>
      <c r="M72" s="24"/>
    </row>
    <row r="73" spans="1:13" s="23" customFormat="1" ht="33" customHeight="1">
      <c r="A73" s="19" t="s">
        <v>74</v>
      </c>
      <c r="B73" s="276"/>
      <c r="C73" s="286"/>
      <c r="D73" s="286"/>
      <c r="E73" s="278"/>
      <c r="F73" s="275"/>
      <c r="G73" s="278"/>
      <c r="H73" s="278"/>
      <c r="I73" s="278"/>
      <c r="J73" s="278"/>
      <c r="M73" s="24"/>
    </row>
    <row r="74" spans="1:13" s="23" customFormat="1" ht="38.25" customHeight="1">
      <c r="A74" s="25" t="s">
        <v>75</v>
      </c>
      <c r="B74" s="20">
        <v>4200</v>
      </c>
      <c r="C74" s="16"/>
      <c r="D74" s="16"/>
      <c r="E74" s="13"/>
      <c r="F74" s="13"/>
      <c r="G74" s="13"/>
      <c r="H74" s="13"/>
      <c r="I74" s="13"/>
      <c r="J74" s="13"/>
      <c r="M74" s="24"/>
    </row>
    <row r="75" spans="1:13" s="23" customFormat="1" ht="38.25" customHeight="1">
      <c r="A75" s="64"/>
      <c r="B75" s="62"/>
      <c r="C75" s="65"/>
      <c r="D75" s="65"/>
      <c r="E75" s="66"/>
      <c r="F75" s="66"/>
      <c r="G75" s="66"/>
      <c r="H75" s="66"/>
      <c r="I75" s="66"/>
      <c r="J75" s="66"/>
      <c r="M75" s="24"/>
    </row>
    <row r="76" spans="1:10" ht="30.75" customHeight="1">
      <c r="A76" s="67" t="s">
        <v>403</v>
      </c>
      <c r="B76" s="68"/>
      <c r="C76" s="69"/>
      <c r="D76" s="69"/>
      <c r="E76" s="70"/>
      <c r="H76" s="274" t="s">
        <v>404</v>
      </c>
      <c r="I76" s="274"/>
      <c r="J76" s="274"/>
    </row>
    <row r="77" spans="1:9" ht="30.75" customHeight="1">
      <c r="A77" s="71" t="s">
        <v>76</v>
      </c>
      <c r="C77" s="72"/>
      <c r="D77" s="72"/>
      <c r="E77" s="73" t="s">
        <v>77</v>
      </c>
      <c r="I77" s="73" t="s">
        <v>78</v>
      </c>
    </row>
    <row r="78" ht="30.75" customHeight="1">
      <c r="A78" s="71"/>
    </row>
    <row r="79" spans="1:10" ht="30.75" customHeight="1">
      <c r="A79" s="67" t="s">
        <v>79</v>
      </c>
      <c r="B79" s="68"/>
      <c r="C79" s="69"/>
      <c r="D79" s="69"/>
      <c r="E79" s="70"/>
      <c r="H79" s="274" t="s">
        <v>80</v>
      </c>
      <c r="I79" s="274"/>
      <c r="J79" s="274"/>
    </row>
    <row r="80" spans="1:9" ht="30.75" customHeight="1">
      <c r="A80" s="71" t="s">
        <v>76</v>
      </c>
      <c r="C80" s="72"/>
      <c r="D80" s="72"/>
      <c r="E80" s="73" t="s">
        <v>77</v>
      </c>
      <c r="I80" s="73" t="s">
        <v>78</v>
      </c>
    </row>
    <row r="81" ht="30.75" customHeight="1">
      <c r="A81" s="73" t="s">
        <v>81</v>
      </c>
    </row>
    <row r="861" ht="24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62">
    <mergeCell ref="H1:J1"/>
    <mergeCell ref="A2:J2"/>
    <mergeCell ref="A4:A7"/>
    <mergeCell ref="B4:B7"/>
    <mergeCell ref="C4:C7"/>
    <mergeCell ref="D4:D7"/>
    <mergeCell ref="E4:J4"/>
    <mergeCell ref="E5:E7"/>
    <mergeCell ref="F5:J5"/>
    <mergeCell ref="F6:F7"/>
    <mergeCell ref="G6:G7"/>
    <mergeCell ref="H6:H7"/>
    <mergeCell ref="I6:J6"/>
    <mergeCell ref="B12:B13"/>
    <mergeCell ref="C12:C13"/>
    <mergeCell ref="D12:D13"/>
    <mergeCell ref="E12:E13"/>
    <mergeCell ref="F12:F13"/>
    <mergeCell ref="G12:G13"/>
    <mergeCell ref="H12:H13"/>
    <mergeCell ref="B26:B27"/>
    <mergeCell ref="C26:C27"/>
    <mergeCell ref="D26:D27"/>
    <mergeCell ref="E26:E27"/>
    <mergeCell ref="F26:F27"/>
    <mergeCell ref="G26:G27"/>
    <mergeCell ref="G28:G29"/>
    <mergeCell ref="H28:H29"/>
    <mergeCell ref="I12:I13"/>
    <mergeCell ref="J12:J13"/>
    <mergeCell ref="L15:AC15"/>
    <mergeCell ref="N18:AG18"/>
    <mergeCell ref="H68:H69"/>
    <mergeCell ref="I68:I69"/>
    <mergeCell ref="H26:H27"/>
    <mergeCell ref="I26:I27"/>
    <mergeCell ref="J26:J27"/>
    <mergeCell ref="B28:B29"/>
    <mergeCell ref="C28:C29"/>
    <mergeCell ref="D28:D29"/>
    <mergeCell ref="E28:E29"/>
    <mergeCell ref="F28:F29"/>
    <mergeCell ref="I72:I73"/>
    <mergeCell ref="J72:J73"/>
    <mergeCell ref="I28:I29"/>
    <mergeCell ref="J28:J29"/>
    <mergeCell ref="B68:B69"/>
    <mergeCell ref="C68:C69"/>
    <mergeCell ref="D68:D69"/>
    <mergeCell ref="E68:E69"/>
    <mergeCell ref="F68:F69"/>
    <mergeCell ref="G68:G69"/>
    <mergeCell ref="H76:J76"/>
    <mergeCell ref="H79:J79"/>
    <mergeCell ref="J68:J69"/>
    <mergeCell ref="B72:B73"/>
    <mergeCell ref="C72:C73"/>
    <mergeCell ref="D72:D73"/>
    <mergeCell ref="E72:E73"/>
    <mergeCell ref="F72:F73"/>
    <mergeCell ref="G72:G73"/>
    <mergeCell ref="H72:H73"/>
  </mergeCells>
  <hyperlinks>
    <hyperlink ref="A9" location="P861" display="Остаток средств на начало текущего финансового года "/>
    <hyperlink ref="A10" location="P861" display="Остаток средств на конец текущего финансового года"/>
  </hyperlinks>
  <printOptions/>
  <pageMargins left="0.7875" right="0.39375" top="1.18125" bottom="0.39375" header="0.5118055555555555" footer="0.5118055555555555"/>
  <pageSetup fitToHeight="2" fitToWidth="1" horizontalDpi="600" verticalDpi="600" orientation="landscape" paperSize="9" scale="28" r:id="rId1"/>
  <rowBreaks count="2" manualBreakCount="2">
    <brk id="27" max="255" man="1"/>
    <brk id="6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73"/>
  <sheetViews>
    <sheetView zoomScalePageLayoutView="0" workbookViewId="0" topLeftCell="A355">
      <selection activeCell="G163" sqref="G163"/>
    </sheetView>
  </sheetViews>
  <sheetFormatPr defaultColWidth="9.140625" defaultRowHeight="15"/>
  <cols>
    <col min="1" max="1" width="5.28125" style="0" customWidth="1"/>
    <col min="2" max="2" width="37.421875" style="0" customWidth="1"/>
    <col min="3" max="4" width="13.7109375" style="0" customWidth="1"/>
    <col min="5" max="5" width="16.140625" style="0" customWidth="1"/>
    <col min="6" max="6" width="20.140625" style="0" customWidth="1"/>
    <col min="7" max="7" width="26.421875" style="0" customWidth="1"/>
    <col min="8" max="8" width="19.57421875" style="0" customWidth="1"/>
    <col min="9" max="9" width="21.7109375" style="0" customWidth="1"/>
    <col min="10" max="10" width="11.140625" style="0" customWidth="1"/>
  </cols>
  <sheetData>
    <row r="1" spans="1:256" s="77" customFormat="1" ht="15" customHeight="1">
      <c r="A1" s="75"/>
      <c r="B1" s="75"/>
      <c r="C1" s="75"/>
      <c r="D1" s="76"/>
      <c r="E1" s="76"/>
      <c r="G1" s="344" t="s">
        <v>91</v>
      </c>
      <c r="H1" s="344"/>
      <c r="IU1"/>
      <c r="IV1"/>
    </row>
    <row r="2" spans="1:256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U2"/>
      <c r="IV2"/>
    </row>
    <row r="3" spans="1:256" s="77" customFormat="1" ht="12.75" customHeight="1">
      <c r="A3" s="75"/>
      <c r="B3" s="75"/>
      <c r="C3" s="75"/>
      <c r="D3" s="75"/>
      <c r="E3" s="75"/>
      <c r="F3" s="75"/>
      <c r="G3" s="338"/>
      <c r="H3" s="338"/>
      <c r="IU3"/>
      <c r="IV3"/>
    </row>
    <row r="4" spans="1:256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U4"/>
      <c r="IV4"/>
    </row>
    <row r="5" spans="1:256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U5"/>
      <c r="IV5"/>
    </row>
    <row r="6" spans="1:256" s="77" customFormat="1" ht="18.75" customHeight="1">
      <c r="A6" s="338" t="s">
        <v>94</v>
      </c>
      <c r="B6" s="338"/>
      <c r="C6" s="338"/>
      <c r="D6" s="338"/>
      <c r="E6" s="338"/>
      <c r="F6" s="338"/>
      <c r="G6" s="338"/>
      <c r="H6" s="338"/>
      <c r="IU6"/>
      <c r="IV6"/>
    </row>
    <row r="7" spans="1:256" s="77" customFormat="1" ht="18.75" customHeight="1">
      <c r="A7" s="340" t="s">
        <v>95</v>
      </c>
      <c r="B7" s="340"/>
      <c r="C7" s="340"/>
      <c r="D7" s="340"/>
      <c r="E7" s="340"/>
      <c r="F7" s="340"/>
      <c r="G7" s="340"/>
      <c r="H7" s="340"/>
      <c r="IU7"/>
      <c r="IV7"/>
    </row>
    <row r="8" spans="1:256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U8"/>
      <c r="IV8"/>
    </row>
    <row r="9" spans="1:256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U9"/>
      <c r="IV9"/>
    </row>
    <row r="10" spans="1:256" s="77" customFormat="1" ht="18.75" customHeight="1">
      <c r="A10" s="325" t="s">
        <v>98</v>
      </c>
      <c r="B10" s="325"/>
      <c r="C10" s="325"/>
      <c r="D10" s="325"/>
      <c r="E10" s="325"/>
      <c r="F10" s="325"/>
      <c r="G10" s="325"/>
      <c r="H10" s="325"/>
      <c r="IU10"/>
      <c r="IV10"/>
    </row>
    <row r="11" spans="1:256" s="77" customFormat="1" ht="15.75" customHeight="1">
      <c r="A11" s="342"/>
      <c r="B11" s="342"/>
      <c r="C11" s="342"/>
      <c r="D11" s="342"/>
      <c r="E11" s="342"/>
      <c r="IV11"/>
    </row>
    <row r="12" spans="1:256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V12"/>
    </row>
    <row r="13" spans="1:256" s="77" customFormat="1" ht="19.5" customHeight="1">
      <c r="A13" s="338"/>
      <c r="B13" s="338"/>
      <c r="C13" s="338"/>
      <c r="D13" s="338"/>
      <c r="E13" s="338"/>
      <c r="IV13"/>
    </row>
    <row r="14" spans="1:256" s="77" customFormat="1" ht="97.5" customHeight="1">
      <c r="A14" s="323" t="s">
        <v>100</v>
      </c>
      <c r="B14" s="323"/>
      <c r="C14" s="323"/>
      <c r="D14" s="323"/>
      <c r="E14" s="323"/>
      <c r="F14" s="323"/>
      <c r="G14" s="323"/>
      <c r="H14" s="323"/>
      <c r="IV14"/>
    </row>
    <row r="15" spans="1:256" s="77" customFormat="1" ht="15" customHeight="1">
      <c r="A15" s="81"/>
      <c r="B15" s="81"/>
      <c r="C15" s="81"/>
      <c r="D15" s="81"/>
      <c r="E15" s="81"/>
      <c r="F15" s="81"/>
      <c r="IV15"/>
    </row>
    <row r="16" spans="1:8" ht="15.75" customHeight="1">
      <c r="A16" s="325" t="s">
        <v>101</v>
      </c>
      <c r="B16" s="325"/>
      <c r="C16" s="325"/>
      <c r="D16" s="325"/>
      <c r="E16" s="325"/>
      <c r="F16" s="325"/>
      <c r="G16" s="325"/>
      <c r="H16" s="325"/>
    </row>
    <row r="17" spans="1:256" s="77" customFormat="1" ht="22.5" customHeight="1">
      <c r="A17" s="81"/>
      <c r="B17" s="81"/>
      <c r="C17" s="81"/>
      <c r="D17" s="81"/>
      <c r="E17" s="81"/>
      <c r="IV17"/>
    </row>
    <row r="18" spans="1:8" ht="15.75" customHeight="1">
      <c r="A18" s="323" t="s">
        <v>102</v>
      </c>
      <c r="B18" s="323"/>
      <c r="C18" s="323"/>
      <c r="D18" s="323"/>
      <c r="E18" s="323"/>
      <c r="F18" s="323"/>
      <c r="G18" s="323"/>
      <c r="H18" s="323"/>
    </row>
    <row r="19" spans="1:6" ht="15.75" customHeight="1">
      <c r="A19" s="339"/>
      <c r="B19" s="339"/>
      <c r="C19" s="339"/>
      <c r="D19" s="339"/>
      <c r="E19" s="339"/>
      <c r="F19" s="339"/>
    </row>
    <row r="20" spans="1:8" s="83" customFormat="1" ht="19.5" customHeight="1">
      <c r="A20" s="307" t="s">
        <v>103</v>
      </c>
      <c r="B20" s="307"/>
      <c r="C20" s="307"/>
      <c r="D20" s="307"/>
      <c r="E20" s="307"/>
      <c r="F20" s="307"/>
      <c r="G20" s="307"/>
      <c r="H20" s="307"/>
    </row>
    <row r="21" spans="1:3" s="83" customFormat="1" ht="9" customHeight="1">
      <c r="A21" s="82"/>
      <c r="B21" s="82"/>
      <c r="C21" s="82"/>
    </row>
    <row r="22" spans="1:8" s="84" customFormat="1" ht="26.25" customHeight="1">
      <c r="A22" s="301" t="s">
        <v>104</v>
      </c>
      <c r="B22" s="301" t="s">
        <v>105</v>
      </c>
      <c r="C22" s="301" t="s">
        <v>106</v>
      </c>
      <c r="D22" s="301"/>
      <c r="E22" s="301"/>
      <c r="F22" s="301"/>
      <c r="G22" s="301"/>
      <c r="H22" s="302" t="s">
        <v>107</v>
      </c>
    </row>
    <row r="23" spans="1:8" s="84" customFormat="1" ht="47.25" customHeight="1">
      <c r="A23" s="301"/>
      <c r="B23" s="301"/>
      <c r="C23" s="301" t="s">
        <v>108</v>
      </c>
      <c r="D23" s="301"/>
      <c r="E23" s="301"/>
      <c r="F23" s="301"/>
      <c r="G23" s="85" t="s">
        <v>12</v>
      </c>
      <c r="H23" s="302"/>
    </row>
    <row r="24" spans="1:8" s="84" customFormat="1" ht="47.25" customHeight="1">
      <c r="A24" s="301"/>
      <c r="B24" s="301"/>
      <c r="C24" s="334" t="s">
        <v>109</v>
      </c>
      <c r="D24" s="334" t="s">
        <v>110</v>
      </c>
      <c r="E24" s="334" t="s">
        <v>111</v>
      </c>
      <c r="F24" s="334" t="s">
        <v>112</v>
      </c>
      <c r="G24" s="334" t="s">
        <v>112</v>
      </c>
      <c r="H24" s="302"/>
    </row>
    <row r="25" spans="1:8" s="84" customFormat="1" ht="52.5" customHeight="1">
      <c r="A25" s="301"/>
      <c r="B25" s="301"/>
      <c r="C25" s="334"/>
      <c r="D25" s="334"/>
      <c r="E25" s="334"/>
      <c r="F25" s="334"/>
      <c r="G25" s="334"/>
      <c r="H25" s="302"/>
    </row>
    <row r="26" spans="1:8" ht="15">
      <c r="A26" s="87">
        <v>1</v>
      </c>
      <c r="B26" s="86">
        <v>2</v>
      </c>
      <c r="C26" s="87">
        <v>3</v>
      </c>
      <c r="D26" s="87">
        <v>4</v>
      </c>
      <c r="E26" s="87">
        <v>5</v>
      </c>
      <c r="F26" s="88">
        <v>6</v>
      </c>
      <c r="G26" s="87">
        <v>7</v>
      </c>
      <c r="H26" s="88" t="s">
        <v>113</v>
      </c>
    </row>
    <row r="27" spans="1:8" ht="16.5" customHeight="1">
      <c r="A27" s="89">
        <v>1</v>
      </c>
      <c r="B27" s="90" t="s">
        <v>114</v>
      </c>
      <c r="C27" s="91">
        <v>4</v>
      </c>
      <c r="D27" s="92">
        <v>86818.75</v>
      </c>
      <c r="E27" s="89">
        <v>12</v>
      </c>
      <c r="F27" s="93">
        <f>C27*D27*E27-23700</f>
        <v>4143600</v>
      </c>
      <c r="G27" s="94"/>
      <c r="H27" s="94">
        <f>F27+G27</f>
        <v>4143600</v>
      </c>
    </row>
    <row r="28" spans="1:8" ht="16.5" customHeight="1">
      <c r="A28" s="89">
        <v>2</v>
      </c>
      <c r="B28" s="90" t="s">
        <v>115</v>
      </c>
      <c r="C28" s="91">
        <v>23</v>
      </c>
      <c r="D28" s="92">
        <v>43409.058</v>
      </c>
      <c r="E28" s="89">
        <v>12</v>
      </c>
      <c r="F28" s="93">
        <f>C28*D28*E28-68100.01</f>
        <v>11912799.998</v>
      </c>
      <c r="G28" s="94"/>
      <c r="H28" s="94">
        <f>F28+G28</f>
        <v>11912799.998</v>
      </c>
    </row>
    <row r="29" spans="1:8" ht="16.5" customHeight="1">
      <c r="A29" s="89">
        <v>3</v>
      </c>
      <c r="B29" s="90" t="s">
        <v>116</v>
      </c>
      <c r="C29" s="91">
        <v>68</v>
      </c>
      <c r="D29" s="92">
        <v>43408.94607</v>
      </c>
      <c r="E29" s="89">
        <v>12</v>
      </c>
      <c r="F29" s="93">
        <f>C29*D29*E29-201399.99</f>
        <v>35220300.00312</v>
      </c>
      <c r="G29" s="94"/>
      <c r="H29" s="94">
        <f>F29+G29</f>
        <v>35220300.00312</v>
      </c>
    </row>
    <row r="30" spans="1:8" ht="16.5" customHeight="1">
      <c r="A30" s="89">
        <v>4</v>
      </c>
      <c r="B30" s="90" t="s">
        <v>117</v>
      </c>
      <c r="C30" s="95">
        <v>57</v>
      </c>
      <c r="D30" s="92">
        <v>37365.2046783</v>
      </c>
      <c r="E30" s="89">
        <v>12</v>
      </c>
      <c r="F30" s="93">
        <f>C30*D30*E30-3500000-106800-769800</f>
        <v>21181199.9999572</v>
      </c>
      <c r="G30" s="94">
        <v>3500000</v>
      </c>
      <c r="H30" s="94">
        <f>F30+G30</f>
        <v>24681199.9999572</v>
      </c>
    </row>
    <row r="31" spans="1:8" ht="16.5" customHeight="1">
      <c r="A31" s="337" t="s">
        <v>118</v>
      </c>
      <c r="B31" s="337"/>
      <c r="C31" s="96">
        <f>SUM(C27:C30)</f>
        <v>152</v>
      </c>
      <c r="D31" s="96" t="s">
        <v>16</v>
      </c>
      <c r="E31" s="96" t="s">
        <v>119</v>
      </c>
      <c r="F31" s="97">
        <f>SUM(F27:F30)</f>
        <v>72457900.0010772</v>
      </c>
      <c r="G31" s="97">
        <f>SUM(G27:G30)</f>
        <v>3500000</v>
      </c>
      <c r="H31" s="97">
        <f>SUM(H27:H30)</f>
        <v>75957900.0010772</v>
      </c>
    </row>
    <row r="32" ht="15">
      <c r="A32" s="98"/>
    </row>
    <row r="33" spans="1:8" ht="25.5" customHeight="1">
      <c r="A33" s="323" t="s">
        <v>120</v>
      </c>
      <c r="B33" s="323"/>
      <c r="C33" s="323"/>
      <c r="D33" s="323"/>
      <c r="E33" s="323"/>
      <c r="F33" s="323"/>
      <c r="G33" s="323"/>
      <c r="H33" s="323"/>
    </row>
    <row r="34" spans="1:8" ht="18.75" customHeight="1">
      <c r="A34" s="307" t="s">
        <v>121</v>
      </c>
      <c r="B34" s="307"/>
      <c r="C34" s="307"/>
      <c r="D34" s="307"/>
      <c r="E34" s="307"/>
      <c r="F34" s="307"/>
      <c r="G34" s="307"/>
      <c r="H34" s="307"/>
    </row>
    <row r="35" spans="1:3" ht="15">
      <c r="A35" s="99"/>
      <c r="B35" s="99"/>
      <c r="C35" s="99"/>
    </row>
    <row r="36" spans="1:8" ht="15" customHeight="1">
      <c r="A36" s="301" t="s">
        <v>104</v>
      </c>
      <c r="B36" s="301" t="s">
        <v>2</v>
      </c>
      <c r="C36" s="301"/>
      <c r="D36" s="301" t="s">
        <v>106</v>
      </c>
      <c r="E36" s="301"/>
      <c r="F36" s="301"/>
      <c r="G36" s="301"/>
      <c r="H36" s="302" t="s">
        <v>107</v>
      </c>
    </row>
    <row r="37" spans="1:20" ht="48" customHeight="1">
      <c r="A37" s="301"/>
      <c r="B37" s="301"/>
      <c r="C37" s="301"/>
      <c r="D37" s="301" t="s">
        <v>108</v>
      </c>
      <c r="E37" s="301"/>
      <c r="F37" s="301"/>
      <c r="G37" s="85" t="s">
        <v>12</v>
      </c>
      <c r="H37" s="302"/>
      <c r="M37" s="323"/>
      <c r="N37" s="323"/>
      <c r="O37" s="323"/>
      <c r="P37" s="323"/>
      <c r="Q37" s="323"/>
      <c r="R37" s="323"/>
      <c r="S37" s="323"/>
      <c r="T37" s="323"/>
    </row>
    <row r="38" spans="1:20" ht="25.5">
      <c r="A38" s="301"/>
      <c r="B38" s="301"/>
      <c r="C38" s="301"/>
      <c r="D38" s="86" t="s">
        <v>122</v>
      </c>
      <c r="E38" s="86" t="s">
        <v>123</v>
      </c>
      <c r="F38" s="100" t="s">
        <v>112</v>
      </c>
      <c r="G38" s="100" t="s">
        <v>112</v>
      </c>
      <c r="H38" s="302"/>
      <c r="M38" s="307"/>
      <c r="N38" s="307"/>
      <c r="O38" s="307"/>
      <c r="P38" s="307"/>
      <c r="Q38" s="307"/>
      <c r="R38" s="307"/>
      <c r="S38" s="307"/>
      <c r="T38" s="307"/>
    </row>
    <row r="39" spans="1:20" ht="15" customHeight="1">
      <c r="A39" s="87">
        <v>1</v>
      </c>
      <c r="B39" s="329">
        <v>2</v>
      </c>
      <c r="C39" s="329"/>
      <c r="D39" s="87">
        <v>3</v>
      </c>
      <c r="E39" s="88">
        <v>4</v>
      </c>
      <c r="F39" s="88" t="s">
        <v>124</v>
      </c>
      <c r="G39" s="88">
        <v>6</v>
      </c>
      <c r="H39" s="88" t="s">
        <v>125</v>
      </c>
      <c r="M39" s="99"/>
      <c r="N39" s="99"/>
      <c r="O39" s="99"/>
      <c r="P39" s="101"/>
      <c r="Q39" s="101"/>
      <c r="R39" s="101"/>
      <c r="S39" s="101"/>
      <c r="T39" s="101"/>
    </row>
    <row r="40" spans="1:20" ht="27.75" customHeight="1">
      <c r="A40" s="87">
        <v>1</v>
      </c>
      <c r="B40" s="319" t="s">
        <v>126</v>
      </c>
      <c r="C40" s="319"/>
      <c r="D40" s="93">
        <v>2500</v>
      </c>
      <c r="E40" s="94">
        <f>F40/D40</f>
        <v>160</v>
      </c>
      <c r="F40" s="102">
        <v>400000</v>
      </c>
      <c r="G40" s="103">
        <v>0</v>
      </c>
      <c r="H40" s="104">
        <f>F40+G40</f>
        <v>400000</v>
      </c>
      <c r="M40" s="335"/>
      <c r="N40" s="335"/>
      <c r="O40" s="335"/>
      <c r="P40" s="335"/>
      <c r="Q40" s="335"/>
      <c r="R40" s="335"/>
      <c r="S40" s="335"/>
      <c r="T40" s="336"/>
    </row>
    <row r="41" spans="1:20" ht="18.75" customHeight="1">
      <c r="A41" s="296" t="s">
        <v>118</v>
      </c>
      <c r="B41" s="296"/>
      <c r="C41" s="296"/>
      <c r="D41" s="105" t="s">
        <v>16</v>
      </c>
      <c r="E41" s="105" t="s">
        <v>119</v>
      </c>
      <c r="F41" s="97">
        <f>SUM(F40)</f>
        <v>400000</v>
      </c>
      <c r="G41" s="97">
        <f>SUM(G40)</f>
        <v>0</v>
      </c>
      <c r="H41" s="97">
        <f>SUM(H40)</f>
        <v>400000</v>
      </c>
      <c r="M41" s="335"/>
      <c r="N41" s="335"/>
      <c r="O41" s="335"/>
      <c r="P41" s="335"/>
      <c r="Q41" s="335"/>
      <c r="R41" s="335"/>
      <c r="S41" s="106"/>
      <c r="T41" s="336"/>
    </row>
    <row r="42" spans="1:20" ht="15">
      <c r="A42" s="98"/>
      <c r="M42" s="335"/>
      <c r="N42" s="335"/>
      <c r="O42" s="335"/>
      <c r="P42" s="107"/>
      <c r="Q42" s="107"/>
      <c r="R42" s="108"/>
      <c r="S42" s="108"/>
      <c r="T42" s="336"/>
    </row>
    <row r="43" spans="1:8" ht="15.75" customHeight="1">
      <c r="A43" s="82" t="s">
        <v>127</v>
      </c>
      <c r="B43" s="109"/>
      <c r="C43" s="109">
        <v>111</v>
      </c>
      <c r="D43" s="109"/>
      <c r="E43" s="110"/>
      <c r="F43" s="111">
        <f>F31+F41</f>
        <v>72857900.0010772</v>
      </c>
      <c r="G43" s="111">
        <f>G31+G41</f>
        <v>3500000</v>
      </c>
      <c r="H43" s="111">
        <f>H31+H41</f>
        <v>76357900.0010772</v>
      </c>
    </row>
    <row r="44" spans="1:7" ht="8.25" customHeight="1">
      <c r="A44" s="112"/>
      <c r="B44" s="112"/>
      <c r="C44" s="113"/>
      <c r="D44" s="113"/>
      <c r="E44" s="113"/>
      <c r="F44" s="114"/>
      <c r="G44" s="115"/>
    </row>
    <row r="45" spans="1:8" ht="15.75" customHeight="1">
      <c r="A45" s="325" t="s">
        <v>128</v>
      </c>
      <c r="B45" s="325"/>
      <c r="C45" s="325"/>
      <c r="D45" s="325"/>
      <c r="E45" s="325"/>
      <c r="F45" s="325"/>
      <c r="G45" s="325"/>
      <c r="H45" s="325"/>
    </row>
    <row r="46" spans="1:256" s="77" customFormat="1" ht="10.5" customHeight="1">
      <c r="A46" s="81"/>
      <c r="B46" s="81"/>
      <c r="C46" s="81"/>
      <c r="D46" s="81"/>
      <c r="E46" s="81"/>
      <c r="IV46"/>
    </row>
    <row r="47" spans="1:8" ht="15.75" customHeight="1">
      <c r="A47" s="323" t="s">
        <v>129</v>
      </c>
      <c r="B47" s="323"/>
      <c r="C47" s="323"/>
      <c r="D47" s="323"/>
      <c r="E47" s="323"/>
      <c r="F47" s="323"/>
      <c r="G47" s="323"/>
      <c r="H47" s="323"/>
    </row>
    <row r="48" spans="1:8" ht="12" customHeight="1">
      <c r="A48" s="323"/>
      <c r="B48" s="323"/>
      <c r="C48" s="323"/>
      <c r="D48" s="323"/>
      <c r="E48" s="323"/>
      <c r="F48" s="323"/>
      <c r="G48" s="323"/>
      <c r="H48" s="323"/>
    </row>
    <row r="49" spans="1:8" s="83" customFormat="1" ht="18" customHeight="1">
      <c r="A49" s="307" t="s">
        <v>130</v>
      </c>
      <c r="B49" s="307"/>
      <c r="C49" s="307"/>
      <c r="D49" s="307"/>
      <c r="E49" s="307"/>
      <c r="F49" s="307"/>
      <c r="G49" s="307"/>
      <c r="H49" s="307"/>
    </row>
    <row r="50" spans="1:8" s="83" customFormat="1" ht="16.5" customHeight="1">
      <c r="A50" s="301" t="s">
        <v>104</v>
      </c>
      <c r="B50" s="329" t="s">
        <v>131</v>
      </c>
      <c r="C50" s="301" t="s">
        <v>106</v>
      </c>
      <c r="D50" s="301"/>
      <c r="E50" s="301"/>
      <c r="F50" s="301"/>
      <c r="G50" s="301"/>
      <c r="H50" s="302" t="s">
        <v>107</v>
      </c>
    </row>
    <row r="51" spans="1:8" ht="48" customHeight="1">
      <c r="A51" s="301"/>
      <c r="B51" s="329"/>
      <c r="C51" s="301" t="s">
        <v>108</v>
      </c>
      <c r="D51" s="301"/>
      <c r="E51" s="301"/>
      <c r="F51" s="301"/>
      <c r="G51" s="85" t="s">
        <v>12</v>
      </c>
      <c r="H51" s="302"/>
    </row>
    <row r="52" spans="1:8" s="84" customFormat="1" ht="49.5" customHeight="1">
      <c r="A52" s="301"/>
      <c r="B52" s="329"/>
      <c r="C52" s="329" t="s">
        <v>132</v>
      </c>
      <c r="D52" s="329"/>
      <c r="E52" s="86" t="s">
        <v>133</v>
      </c>
      <c r="F52" s="87" t="s">
        <v>134</v>
      </c>
      <c r="G52" s="100" t="s">
        <v>112</v>
      </c>
      <c r="H52" s="302"/>
    </row>
    <row r="53" spans="1:8" ht="15" customHeight="1">
      <c r="A53" s="86">
        <v>1</v>
      </c>
      <c r="B53" s="86">
        <v>2</v>
      </c>
      <c r="C53" s="334">
        <v>3</v>
      </c>
      <c r="D53" s="334"/>
      <c r="E53" s="86">
        <v>4</v>
      </c>
      <c r="F53" s="86" t="s">
        <v>135</v>
      </c>
      <c r="G53" s="86">
        <v>6</v>
      </c>
      <c r="H53" s="86" t="s">
        <v>125</v>
      </c>
    </row>
    <row r="54" spans="1:8" ht="17.25" customHeight="1">
      <c r="A54" s="116">
        <v>1</v>
      </c>
      <c r="B54" s="304" t="s">
        <v>136</v>
      </c>
      <c r="C54" s="304"/>
      <c r="D54" s="304"/>
      <c r="E54" s="304"/>
      <c r="F54" s="117">
        <f>SUM(F56:F59)</f>
        <v>16028744.000236984</v>
      </c>
      <c r="G54" s="117">
        <f>SUM(G56:G59)</f>
        <v>794900</v>
      </c>
      <c r="H54" s="117">
        <f>F54+G54</f>
        <v>16823644.000236984</v>
      </c>
    </row>
    <row r="55" spans="1:8" ht="15" customHeight="1">
      <c r="A55" s="118"/>
      <c r="B55" s="303" t="s">
        <v>8</v>
      </c>
      <c r="C55" s="303"/>
      <c r="D55" s="303"/>
      <c r="E55" s="303"/>
      <c r="F55" s="119"/>
      <c r="G55" s="120"/>
      <c r="H55" s="120"/>
    </row>
    <row r="56" spans="1:8" ht="15.75" customHeight="1">
      <c r="A56" s="118" t="s">
        <v>137</v>
      </c>
      <c r="B56" s="90" t="s">
        <v>114</v>
      </c>
      <c r="C56" s="333">
        <f>F27+23700</f>
        <v>4167300</v>
      </c>
      <c r="D56" s="333"/>
      <c r="E56" s="121">
        <v>22</v>
      </c>
      <c r="F56" s="119">
        <f>C56*E56/100</f>
        <v>916806</v>
      </c>
      <c r="G56" s="122"/>
      <c r="H56" s="122">
        <f>F56+G56</f>
        <v>916806</v>
      </c>
    </row>
    <row r="57" spans="1:8" ht="15.75" customHeight="1">
      <c r="A57" s="118"/>
      <c r="B57" s="90" t="s">
        <v>115</v>
      </c>
      <c r="C57" s="333">
        <f>F28+68100</f>
        <v>11980899.998</v>
      </c>
      <c r="D57" s="333"/>
      <c r="E57" s="121">
        <v>22</v>
      </c>
      <c r="F57" s="119">
        <f>C57*E57/100</f>
        <v>2635797.99956</v>
      </c>
      <c r="G57" s="122">
        <f>G28*E57/100</f>
        <v>0</v>
      </c>
      <c r="H57" s="122">
        <f>F57+G57</f>
        <v>2635797.99956</v>
      </c>
    </row>
    <row r="58" spans="1:8" ht="15.75" customHeight="1">
      <c r="A58" s="118"/>
      <c r="B58" s="90" t="s">
        <v>116</v>
      </c>
      <c r="C58" s="333">
        <f>F29+201400</f>
        <v>35421700.00312</v>
      </c>
      <c r="D58" s="333"/>
      <c r="E58" s="121">
        <v>22</v>
      </c>
      <c r="F58" s="119">
        <f>C58*E58/100</f>
        <v>7792774.0006864</v>
      </c>
      <c r="G58" s="122">
        <f>G29*E58/100</f>
        <v>0</v>
      </c>
      <c r="H58" s="122">
        <f>F58+G58</f>
        <v>7792774.0006864</v>
      </c>
    </row>
    <row r="59" spans="1:8" ht="15.75" customHeight="1">
      <c r="A59" s="118"/>
      <c r="B59" s="90" t="s">
        <v>117</v>
      </c>
      <c r="C59" s="333">
        <f>F30+106800</f>
        <v>21287999.9999572</v>
      </c>
      <c r="D59" s="333"/>
      <c r="E59" s="121">
        <v>22</v>
      </c>
      <c r="F59" s="119">
        <f>C59*E59/100+6</f>
        <v>4683365.999990584</v>
      </c>
      <c r="G59" s="122">
        <f>(G30+G113)*E59/100+2900-33000</f>
        <v>794900</v>
      </c>
      <c r="H59" s="122">
        <f>F59+G59</f>
        <v>5478265.999990584</v>
      </c>
    </row>
    <row r="60" spans="1:8" ht="33" customHeight="1">
      <c r="A60" s="116">
        <v>2</v>
      </c>
      <c r="B60" s="304" t="s">
        <v>138</v>
      </c>
      <c r="C60" s="304"/>
      <c r="D60" s="304"/>
      <c r="E60" s="304"/>
      <c r="F60" s="117">
        <f>F62+F67</f>
        <v>2258636.200033393</v>
      </c>
      <c r="G60" s="117">
        <f>G62+G67</f>
        <v>111600</v>
      </c>
      <c r="H60" s="117">
        <f>F60+G60</f>
        <v>2370236.200033393</v>
      </c>
    </row>
    <row r="61" spans="1:8" ht="15" customHeight="1">
      <c r="A61" s="118"/>
      <c r="B61" s="303" t="s">
        <v>8</v>
      </c>
      <c r="C61" s="303"/>
      <c r="D61" s="303"/>
      <c r="E61" s="303"/>
      <c r="F61" s="119"/>
      <c r="G61" s="120"/>
      <c r="H61" s="120"/>
    </row>
    <row r="62" spans="1:8" ht="33.75" customHeight="1">
      <c r="A62" s="118" t="s">
        <v>139</v>
      </c>
      <c r="B62" s="303" t="s">
        <v>140</v>
      </c>
      <c r="C62" s="303"/>
      <c r="D62" s="303"/>
      <c r="E62" s="303"/>
      <c r="F62" s="119">
        <f>SUM(F63:F66)</f>
        <v>2112875.8000312387</v>
      </c>
      <c r="G62" s="119">
        <f>SUM(G63:G66)</f>
        <v>104400</v>
      </c>
      <c r="H62" s="119">
        <f>SUM(H63:H66)</f>
        <v>2217275.8000312387</v>
      </c>
    </row>
    <row r="63" spans="1:8" ht="15" customHeight="1">
      <c r="A63" s="118"/>
      <c r="B63" s="90" t="s">
        <v>114</v>
      </c>
      <c r="C63" s="333">
        <f>F27+23700</f>
        <v>4167300</v>
      </c>
      <c r="D63" s="333"/>
      <c r="E63" s="91">
        <v>2.9</v>
      </c>
      <c r="F63" s="119">
        <f>C63*E63/100</f>
        <v>120851.7</v>
      </c>
      <c r="G63" s="122">
        <f>G27*E63/100</f>
        <v>0</v>
      </c>
      <c r="H63" s="122">
        <f>F63+G63</f>
        <v>120851.7</v>
      </c>
    </row>
    <row r="64" spans="1:8" ht="15" customHeight="1">
      <c r="A64" s="118"/>
      <c r="B64" s="90" t="s">
        <v>115</v>
      </c>
      <c r="C64" s="333">
        <f>F28+68100</f>
        <v>11980899.998</v>
      </c>
      <c r="D64" s="333"/>
      <c r="E64" s="91">
        <v>2.9</v>
      </c>
      <c r="F64" s="119">
        <f>C64*E64/100</f>
        <v>347446.099942</v>
      </c>
      <c r="G64" s="122">
        <f>G28*E64/100</f>
        <v>0</v>
      </c>
      <c r="H64" s="122">
        <f>F64+G64</f>
        <v>347446.099942</v>
      </c>
    </row>
    <row r="65" spans="1:8" ht="15" customHeight="1">
      <c r="A65" s="118"/>
      <c r="B65" s="90" t="s">
        <v>116</v>
      </c>
      <c r="C65" s="333">
        <f>F29+201400</f>
        <v>35421700.00312</v>
      </c>
      <c r="D65" s="333"/>
      <c r="E65" s="91">
        <v>2.9</v>
      </c>
      <c r="F65" s="119">
        <f>C65*E65/100</f>
        <v>1027229.3000904799</v>
      </c>
      <c r="G65" s="122">
        <f>G29*E65/100</f>
        <v>0</v>
      </c>
      <c r="H65" s="122">
        <f>F65+G65</f>
        <v>1027229.3000904799</v>
      </c>
    </row>
    <row r="66" spans="1:8" ht="15" customHeight="1">
      <c r="A66" s="118"/>
      <c r="B66" s="90" t="s">
        <v>117</v>
      </c>
      <c r="C66" s="333">
        <f>F30+106800</f>
        <v>21287999.9999572</v>
      </c>
      <c r="D66" s="333"/>
      <c r="E66" s="91">
        <v>2.9</v>
      </c>
      <c r="F66" s="119">
        <f>C66*E66/100-3.3</f>
        <v>617348.6999987587</v>
      </c>
      <c r="G66" s="122">
        <f>(G30+G113)*E66/100-4350</f>
        <v>104400</v>
      </c>
      <c r="H66" s="122">
        <f>F66+G66</f>
        <v>721748.6999987587</v>
      </c>
    </row>
    <row r="67" spans="1:8" ht="34.5" customHeight="1">
      <c r="A67" s="118" t="s">
        <v>141</v>
      </c>
      <c r="B67" s="303" t="s">
        <v>142</v>
      </c>
      <c r="C67" s="303"/>
      <c r="D67" s="303"/>
      <c r="E67" s="303"/>
      <c r="F67" s="119">
        <f>SUM(F68:F71)</f>
        <v>145760.4000021544</v>
      </c>
      <c r="G67" s="119">
        <f>SUM(G68:G71)</f>
        <v>7200</v>
      </c>
      <c r="H67" s="119">
        <f>SUM(H68:H71)</f>
        <v>152960.4000021544</v>
      </c>
    </row>
    <row r="68" spans="1:8" ht="18" customHeight="1">
      <c r="A68" s="118"/>
      <c r="B68" s="90" t="s">
        <v>114</v>
      </c>
      <c r="C68" s="333">
        <f>F27+23700</f>
        <v>4167300</v>
      </c>
      <c r="D68" s="333"/>
      <c r="E68" s="91">
        <v>0.2</v>
      </c>
      <c r="F68" s="119">
        <f>C68*E68/100</f>
        <v>8334.6</v>
      </c>
      <c r="G68" s="123">
        <f>G27*E68/100</f>
        <v>0</v>
      </c>
      <c r="H68" s="122">
        <f aca="true" t="shared" si="0" ref="H68:H76">F68+G68</f>
        <v>8334.6</v>
      </c>
    </row>
    <row r="69" spans="1:8" ht="15" customHeight="1">
      <c r="A69" s="118"/>
      <c r="B69" s="90" t="s">
        <v>115</v>
      </c>
      <c r="C69" s="333">
        <f>F28+68100</f>
        <v>11980899.998</v>
      </c>
      <c r="D69" s="333"/>
      <c r="E69" s="91">
        <v>0.2</v>
      </c>
      <c r="F69" s="119">
        <f>C69*E69/100</f>
        <v>23961.799996</v>
      </c>
      <c r="G69" s="123">
        <f>G28*E69/100</f>
        <v>0</v>
      </c>
      <c r="H69" s="122">
        <f t="shared" si="0"/>
        <v>23961.799996</v>
      </c>
    </row>
    <row r="70" spans="1:8" ht="14.25" customHeight="1">
      <c r="A70" s="118"/>
      <c r="B70" s="90" t="s">
        <v>116</v>
      </c>
      <c r="C70" s="333">
        <f>F29+201400</f>
        <v>35421700.00312</v>
      </c>
      <c r="D70" s="333"/>
      <c r="E70" s="91">
        <v>0.2</v>
      </c>
      <c r="F70" s="119">
        <f>C70*E70/100</f>
        <v>70843.40000624</v>
      </c>
      <c r="G70" s="123">
        <f>G29*E70/100</f>
        <v>0</v>
      </c>
      <c r="H70" s="122">
        <f t="shared" si="0"/>
        <v>70843.40000624</v>
      </c>
    </row>
    <row r="71" spans="1:8" ht="14.25" customHeight="1">
      <c r="A71" s="118"/>
      <c r="B71" s="90" t="s">
        <v>117</v>
      </c>
      <c r="C71" s="333">
        <f>F30+106800</f>
        <v>21287999.9999572</v>
      </c>
      <c r="D71" s="333"/>
      <c r="E71" s="91">
        <v>0.2</v>
      </c>
      <c r="F71" s="119">
        <f>C71*E71/100+44.6</f>
        <v>42620.599999914404</v>
      </c>
      <c r="G71" s="123">
        <f>(G30+G113)*E71/100-300</f>
        <v>7200</v>
      </c>
      <c r="H71" s="122">
        <f t="shared" si="0"/>
        <v>49820.599999914404</v>
      </c>
    </row>
    <row r="72" spans="1:8" ht="36" customHeight="1">
      <c r="A72" s="116">
        <v>3</v>
      </c>
      <c r="B72" s="304" t="s">
        <v>143</v>
      </c>
      <c r="C72" s="304"/>
      <c r="D72" s="304"/>
      <c r="E72" s="304"/>
      <c r="F72" s="117">
        <f>SUM(F73:F76)</f>
        <v>3715719.8000549367</v>
      </c>
      <c r="G72" s="117">
        <f>SUM(G73:G76)</f>
        <v>183600</v>
      </c>
      <c r="H72" s="117">
        <f t="shared" si="0"/>
        <v>3899319.8000549367</v>
      </c>
    </row>
    <row r="73" spans="1:8" ht="15.75" customHeight="1">
      <c r="A73" s="118"/>
      <c r="B73" s="90" t="s">
        <v>114</v>
      </c>
      <c r="C73" s="333">
        <f>F27+23700</f>
        <v>4167300</v>
      </c>
      <c r="D73" s="333"/>
      <c r="E73" s="91">
        <v>5.1</v>
      </c>
      <c r="F73" s="119">
        <f>C73*E73/100</f>
        <v>212532.3</v>
      </c>
      <c r="G73" s="122">
        <f>G27*E73/100</f>
        <v>0</v>
      </c>
      <c r="H73" s="124">
        <f t="shared" si="0"/>
        <v>212532.3</v>
      </c>
    </row>
    <row r="74" spans="1:8" ht="15.75" customHeight="1">
      <c r="A74" s="118"/>
      <c r="B74" s="90" t="s">
        <v>115</v>
      </c>
      <c r="C74" s="333">
        <f>F28+68100</f>
        <v>11980899.998</v>
      </c>
      <c r="D74" s="333"/>
      <c r="E74" s="91">
        <v>5.1</v>
      </c>
      <c r="F74" s="119">
        <f>C74*E74/100</f>
        <v>611025.899898</v>
      </c>
      <c r="G74" s="122">
        <f>G28*E74/100</f>
        <v>0</v>
      </c>
      <c r="H74" s="124">
        <f t="shared" si="0"/>
        <v>611025.899898</v>
      </c>
    </row>
    <row r="75" spans="1:8" ht="15" customHeight="1">
      <c r="A75" s="118"/>
      <c r="B75" s="90" t="s">
        <v>116</v>
      </c>
      <c r="C75" s="333">
        <f>F29+201400</f>
        <v>35421700.00312</v>
      </c>
      <c r="D75" s="333"/>
      <c r="E75" s="91">
        <v>5.1</v>
      </c>
      <c r="F75" s="119">
        <f>C75*E75/100</f>
        <v>1806506.7001591197</v>
      </c>
      <c r="G75" s="122">
        <f>G29*E75/100</f>
        <v>0</v>
      </c>
      <c r="H75" s="124">
        <f t="shared" si="0"/>
        <v>1806506.7001591197</v>
      </c>
    </row>
    <row r="76" spans="1:8" ht="15" customHeight="1">
      <c r="A76" s="118"/>
      <c r="B76" s="90" t="s">
        <v>117</v>
      </c>
      <c r="C76" s="333">
        <f>F30+106800</f>
        <v>21287999.9999572</v>
      </c>
      <c r="D76" s="333"/>
      <c r="E76" s="91">
        <v>5.1</v>
      </c>
      <c r="F76" s="119">
        <f>C76*E76/100-12.7-20.4</f>
        <v>1085654.8999978174</v>
      </c>
      <c r="G76" s="122">
        <f>(G30+G113)*E76/100-7650</f>
        <v>183600</v>
      </c>
      <c r="H76" s="124">
        <f t="shared" si="0"/>
        <v>1269254.8999978174</v>
      </c>
    </row>
    <row r="77" spans="1:8" ht="15.75" customHeight="1">
      <c r="A77" s="116"/>
      <c r="B77" s="125" t="s">
        <v>118</v>
      </c>
      <c r="C77" s="333">
        <f>F31+F41</f>
        <v>72857900.0010772</v>
      </c>
      <c r="D77" s="333"/>
      <c r="E77" s="117"/>
      <c r="F77" s="117">
        <f>F54+F60+F72</f>
        <v>22003100.000325315</v>
      </c>
      <c r="G77" s="117">
        <f>G54+G60+G72</f>
        <v>1090100</v>
      </c>
      <c r="H77" s="117">
        <f>H54+H60+H72</f>
        <v>23093200.000325315</v>
      </c>
    </row>
    <row r="78" ht="15">
      <c r="A78" s="98"/>
    </row>
    <row r="79" spans="1:8" ht="15.75" customHeight="1">
      <c r="A79" s="126" t="s">
        <v>127</v>
      </c>
      <c r="B79" s="126"/>
      <c r="C79" s="126">
        <v>119</v>
      </c>
      <c r="D79" s="109"/>
      <c r="E79" s="110"/>
      <c r="F79" s="127">
        <f>F77</f>
        <v>22003100.000325315</v>
      </c>
      <c r="G79" s="127">
        <f>G77</f>
        <v>1090100</v>
      </c>
      <c r="H79" s="127">
        <f>H77</f>
        <v>23093200.000325315</v>
      </c>
    </row>
    <row r="80" ht="15">
      <c r="A80" s="98"/>
    </row>
    <row r="81" spans="1:8" ht="51" customHeight="1">
      <c r="A81" s="323" t="s">
        <v>144</v>
      </c>
      <c r="B81" s="323"/>
      <c r="C81" s="323"/>
      <c r="D81" s="323"/>
      <c r="E81" s="323"/>
      <c r="F81" s="323"/>
      <c r="G81" s="323"/>
      <c r="H81" s="323"/>
    </row>
    <row r="82" spans="1:8" ht="16.5" customHeight="1">
      <c r="A82" s="317"/>
      <c r="B82" s="317"/>
      <c r="C82" s="317"/>
      <c r="D82" s="317"/>
      <c r="E82" s="317"/>
      <c r="F82" s="317"/>
      <c r="G82" s="317"/>
      <c r="H82" s="317"/>
    </row>
    <row r="83" spans="1:8" ht="15.75" customHeight="1">
      <c r="A83" s="325" t="s">
        <v>145</v>
      </c>
      <c r="B83" s="325"/>
      <c r="C83" s="325"/>
      <c r="D83" s="325"/>
      <c r="E83" s="325"/>
      <c r="F83" s="325"/>
      <c r="G83" s="325"/>
      <c r="H83" s="325"/>
    </row>
    <row r="84" spans="1:8" s="83" customFormat="1" ht="20.25" customHeight="1">
      <c r="A84" s="307" t="s">
        <v>146</v>
      </c>
      <c r="B84" s="307"/>
      <c r="C84" s="307"/>
      <c r="D84" s="307"/>
      <c r="E84" s="307"/>
      <c r="F84" s="307"/>
      <c r="G84" s="307"/>
      <c r="H84" s="307"/>
    </row>
    <row r="85" spans="1:8" ht="15.75" customHeight="1">
      <c r="A85" s="301" t="s">
        <v>104</v>
      </c>
      <c r="B85" s="301" t="s">
        <v>2</v>
      </c>
      <c r="C85" s="301" t="s">
        <v>106</v>
      </c>
      <c r="D85" s="301"/>
      <c r="E85" s="301"/>
      <c r="F85" s="301"/>
      <c r="G85" s="301"/>
      <c r="H85" s="302" t="s">
        <v>107</v>
      </c>
    </row>
    <row r="86" spans="1:8" ht="51.75" customHeight="1">
      <c r="A86" s="301"/>
      <c r="B86" s="301"/>
      <c r="C86" s="301" t="s">
        <v>108</v>
      </c>
      <c r="D86" s="301"/>
      <c r="E86" s="301"/>
      <c r="F86" s="301"/>
      <c r="G86" s="85" t="s">
        <v>12</v>
      </c>
      <c r="H86" s="302"/>
    </row>
    <row r="87" spans="1:8" ht="30" customHeight="1">
      <c r="A87" s="301"/>
      <c r="B87" s="301"/>
      <c r="C87" s="329" t="s">
        <v>147</v>
      </c>
      <c r="D87" s="329"/>
      <c r="E87" s="87" t="s">
        <v>123</v>
      </c>
      <c r="F87" s="129" t="s">
        <v>148</v>
      </c>
      <c r="G87" s="100" t="s">
        <v>112</v>
      </c>
      <c r="H87" s="302"/>
    </row>
    <row r="88" spans="1:8" ht="15" customHeight="1">
      <c r="A88" s="87">
        <v>1</v>
      </c>
      <c r="B88" s="87">
        <v>2</v>
      </c>
      <c r="C88" s="329">
        <v>3</v>
      </c>
      <c r="D88" s="329"/>
      <c r="E88" s="88">
        <v>4</v>
      </c>
      <c r="F88" s="88" t="s">
        <v>124</v>
      </c>
      <c r="G88" s="88">
        <v>6</v>
      </c>
      <c r="H88" s="88" t="s">
        <v>125</v>
      </c>
    </row>
    <row r="89" spans="1:8" ht="55.5" customHeight="1">
      <c r="A89" s="87">
        <v>1</v>
      </c>
      <c r="B89" s="130" t="s">
        <v>149</v>
      </c>
      <c r="C89" s="330"/>
      <c r="D89" s="330"/>
      <c r="E89" s="131"/>
      <c r="F89" s="93"/>
      <c r="G89" s="104">
        <v>0</v>
      </c>
      <c r="H89" s="104">
        <f>F89+G89</f>
        <v>0</v>
      </c>
    </row>
    <row r="90" spans="1:8" ht="14.25" customHeight="1">
      <c r="A90" s="331" t="s">
        <v>118</v>
      </c>
      <c r="B90" s="331"/>
      <c r="C90" s="332" t="s">
        <v>119</v>
      </c>
      <c r="D90" s="332"/>
      <c r="E90" s="96" t="s">
        <v>119</v>
      </c>
      <c r="F90" s="97">
        <f>SUM(F89)</f>
        <v>0</v>
      </c>
      <c r="G90" s="97">
        <f>SUM(G89)</f>
        <v>0</v>
      </c>
      <c r="H90" s="97">
        <f>SUM(H89)</f>
        <v>0</v>
      </c>
    </row>
    <row r="91" ht="15">
      <c r="A91" s="98"/>
    </row>
    <row r="92" spans="1:8" ht="18.75">
      <c r="A92" s="307" t="s">
        <v>150</v>
      </c>
      <c r="B92" s="307"/>
      <c r="C92" s="307"/>
      <c r="D92" s="307"/>
      <c r="E92" s="307"/>
      <c r="F92" s="307"/>
      <c r="G92" s="307"/>
      <c r="H92" s="307"/>
    </row>
    <row r="93" spans="1:8" ht="15">
      <c r="A93" s="301" t="s">
        <v>104</v>
      </c>
      <c r="B93" s="301" t="s">
        <v>2</v>
      </c>
      <c r="C93" s="301" t="s">
        <v>106</v>
      </c>
      <c r="D93" s="301"/>
      <c r="E93" s="301"/>
      <c r="F93" s="301"/>
      <c r="G93" s="301"/>
      <c r="H93" s="302" t="s">
        <v>107</v>
      </c>
    </row>
    <row r="94" spans="1:8" ht="63.75">
      <c r="A94" s="301"/>
      <c r="B94" s="301"/>
      <c r="C94" s="301" t="s">
        <v>108</v>
      </c>
      <c r="D94" s="301"/>
      <c r="E94" s="301"/>
      <c r="F94" s="301"/>
      <c r="G94" s="132" t="s">
        <v>12</v>
      </c>
      <c r="H94" s="302"/>
    </row>
    <row r="95" spans="1:8" ht="30" customHeight="1">
      <c r="A95" s="301"/>
      <c r="B95" s="301"/>
      <c r="C95" s="329" t="s">
        <v>147</v>
      </c>
      <c r="D95" s="329"/>
      <c r="E95" s="87" t="s">
        <v>123</v>
      </c>
      <c r="F95" s="129" t="s">
        <v>148</v>
      </c>
      <c r="G95" s="100" t="s">
        <v>112</v>
      </c>
      <c r="H95" s="302"/>
    </row>
    <row r="96" spans="1:8" ht="15">
      <c r="A96" s="87">
        <v>1</v>
      </c>
      <c r="B96" s="87">
        <v>2</v>
      </c>
      <c r="C96" s="329">
        <v>3</v>
      </c>
      <c r="D96" s="329"/>
      <c r="E96" s="88">
        <v>4</v>
      </c>
      <c r="F96" s="88" t="s">
        <v>124</v>
      </c>
      <c r="G96" s="88">
        <v>6</v>
      </c>
      <c r="H96" s="88" t="s">
        <v>125</v>
      </c>
    </row>
    <row r="97" spans="1:8" ht="30">
      <c r="A97" s="87">
        <v>1</v>
      </c>
      <c r="B97" s="90" t="s">
        <v>151</v>
      </c>
      <c r="C97" s="330"/>
      <c r="D97" s="330"/>
      <c r="E97" s="131"/>
      <c r="F97" s="93">
        <f>C97*E97</f>
        <v>0</v>
      </c>
      <c r="G97" s="133">
        <f>10000+14000</f>
        <v>24000</v>
      </c>
      <c r="H97" s="133">
        <f>F97+G97</f>
        <v>24000</v>
      </c>
    </row>
    <row r="98" spans="1:8" ht="18.75" customHeight="1">
      <c r="A98" s="331" t="s">
        <v>118</v>
      </c>
      <c r="B98" s="331"/>
      <c r="C98" s="332" t="s">
        <v>119</v>
      </c>
      <c r="D98" s="332"/>
      <c r="E98" s="96" t="s">
        <v>119</v>
      </c>
      <c r="F98" s="97">
        <f>SUM(F97)</f>
        <v>0</v>
      </c>
      <c r="G98" s="97">
        <f>SUM(G97)</f>
        <v>24000</v>
      </c>
      <c r="H98" s="97">
        <f>SUM(H97)</f>
        <v>24000</v>
      </c>
    </row>
    <row r="99" ht="15">
      <c r="A99" s="98"/>
    </row>
    <row r="100" spans="1:8" ht="18.75">
      <c r="A100" s="307" t="s">
        <v>152</v>
      </c>
      <c r="B100" s="307"/>
      <c r="C100" s="307"/>
      <c r="D100" s="307"/>
      <c r="E100" s="307"/>
      <c r="F100" s="307"/>
      <c r="G100" s="307"/>
      <c r="H100" s="307"/>
    </row>
    <row r="101" spans="1:8" ht="15">
      <c r="A101" s="301" t="s">
        <v>104</v>
      </c>
      <c r="B101" s="301" t="s">
        <v>2</v>
      </c>
      <c r="C101" s="301" t="s">
        <v>106</v>
      </c>
      <c r="D101" s="301"/>
      <c r="E101" s="301"/>
      <c r="F101" s="301"/>
      <c r="G101" s="301"/>
      <c r="H101" s="302" t="s">
        <v>107</v>
      </c>
    </row>
    <row r="102" spans="1:8" ht="48">
      <c r="A102" s="301"/>
      <c r="B102" s="301"/>
      <c r="C102" s="301" t="s">
        <v>108</v>
      </c>
      <c r="D102" s="301"/>
      <c r="E102" s="301"/>
      <c r="F102" s="301"/>
      <c r="G102" s="85" t="s">
        <v>12</v>
      </c>
      <c r="H102" s="302"/>
    </row>
    <row r="103" spans="1:8" ht="30" customHeight="1">
      <c r="A103" s="301"/>
      <c r="B103" s="301"/>
      <c r="C103" s="329" t="s">
        <v>147</v>
      </c>
      <c r="D103" s="329"/>
      <c r="E103" s="87" t="s">
        <v>123</v>
      </c>
      <c r="F103" s="129" t="s">
        <v>148</v>
      </c>
      <c r="G103" s="100" t="s">
        <v>112</v>
      </c>
      <c r="H103" s="302"/>
    </row>
    <row r="104" spans="1:8" ht="15">
      <c r="A104" s="87">
        <v>1</v>
      </c>
      <c r="B104" s="87">
        <v>2</v>
      </c>
      <c r="C104" s="329">
        <v>3</v>
      </c>
      <c r="D104" s="329"/>
      <c r="E104" s="88">
        <v>4</v>
      </c>
      <c r="F104" s="88" t="s">
        <v>124</v>
      </c>
      <c r="G104" s="88">
        <v>6</v>
      </c>
      <c r="H104" s="88" t="s">
        <v>125</v>
      </c>
    </row>
    <row r="105" spans="1:8" ht="45">
      <c r="A105" s="87">
        <v>1</v>
      </c>
      <c r="B105" s="90" t="s">
        <v>153</v>
      </c>
      <c r="C105" s="330">
        <v>0</v>
      </c>
      <c r="D105" s="330"/>
      <c r="E105" s="131">
        <v>0</v>
      </c>
      <c r="F105" s="93">
        <f>C105*E105</f>
        <v>0</v>
      </c>
      <c r="G105" s="133">
        <v>200000</v>
      </c>
      <c r="H105" s="133">
        <f>F105+G105</f>
        <v>200000</v>
      </c>
    </row>
    <row r="106" spans="1:8" ht="18.75" customHeight="1">
      <c r="A106" s="331" t="s">
        <v>118</v>
      </c>
      <c r="B106" s="331"/>
      <c r="C106" s="332" t="s">
        <v>119</v>
      </c>
      <c r="D106" s="332"/>
      <c r="E106" s="96" t="s">
        <v>119</v>
      </c>
      <c r="F106" s="97">
        <f>SUM(F105)</f>
        <v>0</v>
      </c>
      <c r="G106" s="97">
        <f>SUM(G105)</f>
        <v>200000</v>
      </c>
      <c r="H106" s="97">
        <f>SUM(H105)</f>
        <v>200000</v>
      </c>
    </row>
    <row r="107" ht="15">
      <c r="A107" s="98"/>
    </row>
    <row r="108" spans="1:8" ht="18.75">
      <c r="A108" s="307" t="s">
        <v>154</v>
      </c>
      <c r="B108" s="307"/>
      <c r="C108" s="307"/>
      <c r="D108" s="307"/>
      <c r="E108" s="307"/>
      <c r="F108" s="307"/>
      <c r="G108" s="307"/>
      <c r="H108" s="307"/>
    </row>
    <row r="109" spans="1:8" ht="15">
      <c r="A109" s="301" t="s">
        <v>104</v>
      </c>
      <c r="B109" s="301" t="s">
        <v>2</v>
      </c>
      <c r="C109" s="301" t="s">
        <v>106</v>
      </c>
      <c r="D109" s="301"/>
      <c r="E109" s="301"/>
      <c r="F109" s="301"/>
      <c r="G109" s="301"/>
      <c r="H109" s="302" t="s">
        <v>107</v>
      </c>
    </row>
    <row r="110" spans="1:8" ht="48">
      <c r="A110" s="301"/>
      <c r="B110" s="301"/>
      <c r="C110" s="301" t="s">
        <v>108</v>
      </c>
      <c r="D110" s="301"/>
      <c r="E110" s="301"/>
      <c r="F110" s="301"/>
      <c r="G110" s="85" t="s">
        <v>12</v>
      </c>
      <c r="H110" s="302"/>
    </row>
    <row r="111" spans="1:8" ht="30" customHeight="1">
      <c r="A111" s="301"/>
      <c r="B111" s="301"/>
      <c r="C111" s="329" t="s">
        <v>147</v>
      </c>
      <c r="D111" s="329"/>
      <c r="E111" s="87" t="s">
        <v>123</v>
      </c>
      <c r="F111" s="129" t="s">
        <v>148</v>
      </c>
      <c r="G111" s="100" t="s">
        <v>112</v>
      </c>
      <c r="H111" s="302"/>
    </row>
    <row r="112" spans="1:8" ht="15">
      <c r="A112" s="87">
        <v>1</v>
      </c>
      <c r="B112" s="87">
        <v>2</v>
      </c>
      <c r="C112" s="329">
        <v>3</v>
      </c>
      <c r="D112" s="329"/>
      <c r="E112" s="88">
        <v>4</v>
      </c>
      <c r="F112" s="88" t="s">
        <v>124</v>
      </c>
      <c r="G112" s="88">
        <v>6</v>
      </c>
      <c r="H112" s="88" t="s">
        <v>125</v>
      </c>
    </row>
    <row r="113" spans="1:8" ht="28.5" customHeight="1">
      <c r="A113" s="87">
        <v>1</v>
      </c>
      <c r="B113" s="134" t="s">
        <v>155</v>
      </c>
      <c r="C113" s="329"/>
      <c r="D113" s="329"/>
      <c r="E113" s="88"/>
      <c r="F113" s="121">
        <v>0</v>
      </c>
      <c r="G113" s="121">
        <f>100000+150000</f>
        <v>250000</v>
      </c>
      <c r="H113" s="121">
        <f>F113+G113</f>
        <v>250000</v>
      </c>
    </row>
    <row r="114" spans="1:8" ht="15.75">
      <c r="A114" s="87">
        <v>2</v>
      </c>
      <c r="B114" s="135" t="s">
        <v>156</v>
      </c>
      <c r="C114" s="329"/>
      <c r="D114" s="329"/>
      <c r="E114" s="88"/>
      <c r="F114" s="121">
        <v>0</v>
      </c>
      <c r="G114" s="121">
        <f>10000+10000+36000</f>
        <v>56000</v>
      </c>
      <c r="H114" s="121">
        <f>F114+G114</f>
        <v>56000</v>
      </c>
    </row>
    <row r="115" spans="1:8" ht="18.75" customHeight="1">
      <c r="A115" s="87">
        <v>3</v>
      </c>
      <c r="B115" s="135" t="s">
        <v>157</v>
      </c>
      <c r="C115" s="330"/>
      <c r="D115" s="330"/>
      <c r="E115" s="131"/>
      <c r="F115" s="121">
        <f>C115*E115</f>
        <v>0</v>
      </c>
      <c r="G115" s="121">
        <f>10000+10000+50000</f>
        <v>70000</v>
      </c>
      <c r="H115" s="121">
        <f>F115+G115</f>
        <v>70000</v>
      </c>
    </row>
    <row r="116" spans="1:8" ht="18.75" customHeight="1">
      <c r="A116" s="331" t="s">
        <v>118</v>
      </c>
      <c r="B116" s="331"/>
      <c r="C116" s="332" t="s">
        <v>119</v>
      </c>
      <c r="D116" s="332"/>
      <c r="E116" s="96" t="s">
        <v>119</v>
      </c>
      <c r="F116" s="97">
        <f>SUM(F115)</f>
        <v>0</v>
      </c>
      <c r="G116" s="97">
        <f>SUM(G113:G115)</f>
        <v>376000</v>
      </c>
      <c r="H116" s="97">
        <f>SUM(H113:H115)</f>
        <v>376000</v>
      </c>
    </row>
    <row r="117" spans="1:8" ht="15.75" customHeight="1">
      <c r="A117" s="82" t="s">
        <v>127</v>
      </c>
      <c r="B117" s="109"/>
      <c r="C117" s="109">
        <v>112</v>
      </c>
      <c r="D117" s="109"/>
      <c r="E117" s="110"/>
      <c r="F117" s="127">
        <f>F90+F98+F106+F116</f>
        <v>0</v>
      </c>
      <c r="G117" s="127">
        <f>G90+G98+G106+G116</f>
        <v>600000</v>
      </c>
      <c r="H117" s="127">
        <f>H90+H98+H106+H116</f>
        <v>600000</v>
      </c>
    </row>
    <row r="118" spans="1:8" ht="14.25" customHeight="1">
      <c r="A118" s="82"/>
      <c r="B118" s="109"/>
      <c r="C118" s="109"/>
      <c r="D118" s="109"/>
      <c r="E118" s="110"/>
      <c r="F118" s="110"/>
      <c r="G118" s="110"/>
      <c r="H118" s="110"/>
    </row>
    <row r="119" spans="1:8" ht="15" customHeight="1">
      <c r="A119" s="323" t="s">
        <v>158</v>
      </c>
      <c r="B119" s="323"/>
      <c r="C119" s="323"/>
      <c r="D119" s="323"/>
      <c r="E119" s="323"/>
      <c r="F119" s="323"/>
      <c r="G119" s="323"/>
      <c r="H119" s="323"/>
    </row>
    <row r="120" spans="1:8" ht="15.75" customHeight="1">
      <c r="A120" s="325" t="s">
        <v>159</v>
      </c>
      <c r="B120" s="325"/>
      <c r="C120" s="325"/>
      <c r="D120" s="325"/>
      <c r="E120" s="325"/>
      <c r="F120" s="325"/>
      <c r="G120" s="325"/>
      <c r="H120" s="325"/>
    </row>
    <row r="121" spans="1:8" ht="15.75">
      <c r="A121" s="328"/>
      <c r="B121" s="328"/>
      <c r="C121" s="328"/>
      <c r="D121" s="328"/>
      <c r="E121" s="328"/>
      <c r="F121" s="328"/>
      <c r="G121" s="328"/>
      <c r="H121" s="328"/>
    </row>
    <row r="122" spans="1:8" s="83" customFormat="1" ht="15" customHeight="1">
      <c r="A122" s="307" t="s">
        <v>160</v>
      </c>
      <c r="B122" s="307"/>
      <c r="C122" s="307"/>
      <c r="D122" s="307"/>
      <c r="E122" s="307"/>
      <c r="F122" s="307"/>
      <c r="G122" s="307"/>
      <c r="H122" s="307"/>
    </row>
    <row r="123" spans="1:8" s="83" customFormat="1" ht="16.5" customHeight="1">
      <c r="A123" s="301" t="s">
        <v>104</v>
      </c>
      <c r="B123" s="301" t="s">
        <v>161</v>
      </c>
      <c r="C123" s="301"/>
      <c r="D123" s="301" t="s">
        <v>106</v>
      </c>
      <c r="E123" s="301"/>
      <c r="F123" s="301"/>
      <c r="G123" s="301"/>
      <c r="H123" s="302" t="s">
        <v>107</v>
      </c>
    </row>
    <row r="124" spans="1:8" ht="48.75" customHeight="1">
      <c r="A124" s="301"/>
      <c r="B124" s="301"/>
      <c r="C124" s="301"/>
      <c r="D124" s="301" t="s">
        <v>108</v>
      </c>
      <c r="E124" s="301"/>
      <c r="F124" s="301"/>
      <c r="G124" s="132" t="s">
        <v>12</v>
      </c>
      <c r="H124" s="302"/>
    </row>
    <row r="125" spans="1:8" s="84" customFormat="1" ht="30.75" customHeight="1">
      <c r="A125" s="301"/>
      <c r="B125" s="301"/>
      <c r="C125" s="301"/>
      <c r="D125" s="87" t="s">
        <v>162</v>
      </c>
      <c r="E125" s="87" t="s">
        <v>163</v>
      </c>
      <c r="F125" s="87" t="s">
        <v>164</v>
      </c>
      <c r="G125" s="100" t="s">
        <v>112</v>
      </c>
      <c r="H125" s="302"/>
    </row>
    <row r="126" spans="1:8" ht="15.75" customHeight="1">
      <c r="A126" s="88">
        <v>1</v>
      </c>
      <c r="B126" s="326">
        <v>2</v>
      </c>
      <c r="C126" s="326"/>
      <c r="D126" s="88">
        <v>3</v>
      </c>
      <c r="E126" s="88">
        <v>4</v>
      </c>
      <c r="F126" s="88" t="s">
        <v>135</v>
      </c>
      <c r="G126" s="88">
        <v>6</v>
      </c>
      <c r="H126" s="88" t="s">
        <v>125</v>
      </c>
    </row>
    <row r="127" spans="1:8" ht="29.25" customHeight="1">
      <c r="A127" s="88" t="s">
        <v>165</v>
      </c>
      <c r="B127" s="327" t="s">
        <v>166</v>
      </c>
      <c r="C127" s="327"/>
      <c r="D127" s="129">
        <v>630000</v>
      </c>
      <c r="E127" s="129">
        <v>1</v>
      </c>
      <c r="F127" s="129">
        <v>6300</v>
      </c>
      <c r="G127" s="129">
        <v>15000</v>
      </c>
      <c r="H127" s="129">
        <f>F127+G127</f>
        <v>21300</v>
      </c>
    </row>
    <row r="128" spans="1:8" ht="45.75" customHeight="1">
      <c r="A128" s="88" t="s">
        <v>167</v>
      </c>
      <c r="B128" s="327" t="s">
        <v>168</v>
      </c>
      <c r="C128" s="327"/>
      <c r="D128" s="129"/>
      <c r="E128" s="129"/>
      <c r="F128" s="129"/>
      <c r="G128" s="129">
        <f>40000+150000-90000</f>
        <v>100000</v>
      </c>
      <c r="H128" s="129">
        <f>F128+G128</f>
        <v>100000</v>
      </c>
    </row>
    <row r="129" spans="1:8" ht="33" customHeight="1">
      <c r="A129" s="88" t="s">
        <v>169</v>
      </c>
      <c r="B129" s="305" t="s">
        <v>170</v>
      </c>
      <c r="C129" s="305"/>
      <c r="D129" s="121">
        <v>1</v>
      </c>
      <c r="E129" s="121">
        <v>1</v>
      </c>
      <c r="F129" s="121"/>
      <c r="G129" s="136">
        <v>5000</v>
      </c>
      <c r="H129" s="129">
        <f>F129+G129</f>
        <v>5000</v>
      </c>
    </row>
    <row r="130" spans="1:8" ht="26.25" customHeight="1">
      <c r="A130" s="91" t="s">
        <v>171</v>
      </c>
      <c r="B130" s="305" t="s">
        <v>172</v>
      </c>
      <c r="C130" s="305"/>
      <c r="D130" s="121"/>
      <c r="E130" s="121"/>
      <c r="F130" s="121"/>
      <c r="G130" s="136">
        <f>85000-15000+90000</f>
        <v>160000</v>
      </c>
      <c r="H130" s="129">
        <f>F130+G130</f>
        <v>160000</v>
      </c>
    </row>
    <row r="131" spans="1:8" ht="18" customHeight="1">
      <c r="A131" s="296" t="s">
        <v>118</v>
      </c>
      <c r="B131" s="296"/>
      <c r="C131" s="296"/>
      <c r="D131" s="105"/>
      <c r="E131" s="105" t="s">
        <v>119</v>
      </c>
      <c r="F131" s="137">
        <f>F127</f>
        <v>6300</v>
      </c>
      <c r="G131" s="137">
        <f>SUM(G127:G130)</f>
        <v>280000</v>
      </c>
      <c r="H131" s="137">
        <f>SUM(H127:H130)</f>
        <v>286300</v>
      </c>
    </row>
    <row r="132" spans="1:8" ht="15.75">
      <c r="A132" s="113"/>
      <c r="B132" s="138"/>
      <c r="C132" s="138"/>
      <c r="D132" s="113"/>
      <c r="E132" s="113"/>
      <c r="F132" s="139"/>
      <c r="G132" s="140"/>
      <c r="H132" s="140"/>
    </row>
    <row r="133" spans="1:8" ht="15.75" customHeight="1">
      <c r="A133" s="82" t="s">
        <v>127</v>
      </c>
      <c r="B133" s="109"/>
      <c r="C133" s="109" t="s">
        <v>173</v>
      </c>
      <c r="D133" s="109"/>
      <c r="E133" s="110"/>
      <c r="F133" s="127">
        <f>F131</f>
        <v>6300</v>
      </c>
      <c r="G133" s="127">
        <f>G131</f>
        <v>280000</v>
      </c>
      <c r="H133" s="127">
        <f>H131</f>
        <v>286300</v>
      </c>
    </row>
    <row r="134" spans="1:6" ht="15.75">
      <c r="A134" s="113"/>
      <c r="B134" s="138"/>
      <c r="C134" s="138"/>
      <c r="D134" s="113"/>
      <c r="E134" s="113"/>
      <c r="F134" s="139"/>
    </row>
    <row r="135" spans="1:8" ht="18.75" customHeight="1">
      <c r="A135" s="323" t="s">
        <v>174</v>
      </c>
      <c r="B135" s="323"/>
      <c r="C135" s="323"/>
      <c r="D135" s="323"/>
      <c r="E135" s="323"/>
      <c r="F135" s="323"/>
      <c r="G135" s="323"/>
      <c r="H135" s="323"/>
    </row>
    <row r="136" spans="1:8" ht="12.75" customHeight="1">
      <c r="A136" s="324"/>
      <c r="B136" s="324"/>
      <c r="C136" s="324"/>
      <c r="D136" s="324"/>
      <c r="E136" s="324"/>
      <c r="F136" s="324"/>
      <c r="G136" s="324"/>
      <c r="H136" s="324"/>
    </row>
    <row r="137" spans="1:8" ht="12.75" customHeight="1">
      <c r="A137" s="325" t="s">
        <v>175</v>
      </c>
      <c r="B137" s="325"/>
      <c r="C137" s="325"/>
      <c r="D137" s="325"/>
      <c r="E137" s="325"/>
      <c r="F137" s="325"/>
      <c r="G137" s="325"/>
      <c r="H137" s="325"/>
    </row>
    <row r="138" spans="1:8" ht="12.75" customHeight="1">
      <c r="A138" s="141"/>
      <c r="B138" s="141"/>
      <c r="C138" s="141"/>
      <c r="D138" s="141"/>
      <c r="E138" s="141"/>
      <c r="F138" s="141"/>
      <c r="G138" s="141"/>
      <c r="H138" s="141"/>
    </row>
    <row r="139" spans="1:8" ht="14.25" customHeight="1">
      <c r="A139" s="315" t="s">
        <v>176</v>
      </c>
      <c r="B139" s="315"/>
      <c r="C139" s="315"/>
      <c r="D139" s="315"/>
      <c r="E139" s="315"/>
      <c r="F139" s="315"/>
      <c r="G139" s="315"/>
      <c r="H139" s="315"/>
    </row>
    <row r="140" spans="1:8" ht="12.75" customHeight="1">
      <c r="A140" s="317"/>
      <c r="B140" s="317"/>
      <c r="C140" s="317"/>
      <c r="D140" s="317"/>
      <c r="E140" s="317"/>
      <c r="F140" s="317"/>
      <c r="G140" s="317"/>
      <c r="H140" s="317"/>
    </row>
    <row r="141" spans="1:8" ht="12.75" customHeight="1">
      <c r="A141" s="307" t="s">
        <v>177</v>
      </c>
      <c r="B141" s="307"/>
      <c r="C141" s="307"/>
      <c r="D141" s="307"/>
      <c r="E141" s="307"/>
      <c r="F141" s="307"/>
      <c r="G141" s="307"/>
      <c r="H141" s="307"/>
    </row>
    <row r="142" spans="1:8" ht="21" customHeight="1">
      <c r="A142" s="301" t="s">
        <v>104</v>
      </c>
      <c r="B142" s="301" t="s">
        <v>161</v>
      </c>
      <c r="C142" s="301"/>
      <c r="D142" s="301"/>
      <c r="E142" s="301" t="s">
        <v>106</v>
      </c>
      <c r="F142" s="301"/>
      <c r="G142" s="301"/>
      <c r="H142" s="301" t="s">
        <v>107</v>
      </c>
    </row>
    <row r="143" spans="1:8" ht="52.5" customHeight="1">
      <c r="A143" s="301"/>
      <c r="B143" s="301"/>
      <c r="C143" s="301"/>
      <c r="D143" s="301"/>
      <c r="E143" s="301" t="s">
        <v>108</v>
      </c>
      <c r="F143" s="301"/>
      <c r="G143" s="85" t="s">
        <v>12</v>
      </c>
      <c r="H143" s="301"/>
    </row>
    <row r="144" spans="1:8" ht="12.75" customHeight="1">
      <c r="A144" s="301"/>
      <c r="B144" s="301"/>
      <c r="C144" s="301"/>
      <c r="D144" s="301"/>
      <c r="E144" s="87" t="s">
        <v>178</v>
      </c>
      <c r="F144" s="87" t="s">
        <v>112</v>
      </c>
      <c r="G144" s="87" t="s">
        <v>112</v>
      </c>
      <c r="H144" s="301"/>
    </row>
    <row r="145" spans="1:8" ht="12.75" customHeight="1">
      <c r="A145" s="91">
        <v>1</v>
      </c>
      <c r="B145" s="303">
        <v>2</v>
      </c>
      <c r="C145" s="303"/>
      <c r="D145" s="303"/>
      <c r="E145" s="91">
        <v>3</v>
      </c>
      <c r="F145" s="91">
        <v>4</v>
      </c>
      <c r="G145" s="91">
        <v>5</v>
      </c>
      <c r="H145" s="91" t="s">
        <v>179</v>
      </c>
    </row>
    <row r="146" spans="1:8" ht="18" customHeight="1">
      <c r="A146" s="91">
        <v>1</v>
      </c>
      <c r="B146" s="305" t="s">
        <v>180</v>
      </c>
      <c r="C146" s="305"/>
      <c r="D146" s="305"/>
      <c r="E146" s="91"/>
      <c r="F146" s="121"/>
      <c r="G146" s="142">
        <f>500000+100000+550000-150000+100000+283633.3</f>
        <v>1383633.3</v>
      </c>
      <c r="H146" s="142">
        <f>G146</f>
        <v>1383633.3</v>
      </c>
    </row>
    <row r="147" spans="1:8" ht="12.75" customHeight="1">
      <c r="A147" s="105"/>
      <c r="B147" s="296" t="s">
        <v>118</v>
      </c>
      <c r="C147" s="296"/>
      <c r="D147" s="296"/>
      <c r="E147" s="105" t="s">
        <v>119</v>
      </c>
      <c r="F147" s="137">
        <f>SUM(F146:F146)</f>
        <v>0</v>
      </c>
      <c r="G147" s="143">
        <f>G146</f>
        <v>1383633.3</v>
      </c>
      <c r="H147" s="143">
        <f>G147</f>
        <v>1383633.3</v>
      </c>
    </row>
    <row r="148" spans="1:8" ht="12.75" customHeight="1">
      <c r="A148" s="128"/>
      <c r="B148" s="128"/>
      <c r="C148" s="128"/>
      <c r="D148" s="128"/>
      <c r="E148" s="128"/>
      <c r="F148" s="128"/>
      <c r="G148" s="128"/>
      <c r="H148" s="128"/>
    </row>
    <row r="149" spans="1:8" ht="20.25" customHeight="1">
      <c r="A149" s="82" t="s">
        <v>181</v>
      </c>
      <c r="B149" s="109"/>
      <c r="C149" s="109"/>
      <c r="D149" s="109"/>
      <c r="E149" s="110"/>
      <c r="F149" s="127">
        <f>F147</f>
        <v>0</v>
      </c>
      <c r="G149" s="127">
        <f>G147</f>
        <v>1383633.3</v>
      </c>
      <c r="H149" s="127">
        <f>H147</f>
        <v>1383633.3</v>
      </c>
    </row>
    <row r="150" spans="1:8" ht="12.75" customHeight="1">
      <c r="A150" s="128"/>
      <c r="B150" s="128"/>
      <c r="C150" s="128"/>
      <c r="D150" s="128"/>
      <c r="E150" s="128"/>
      <c r="F150" s="128"/>
      <c r="G150" s="128"/>
      <c r="H150" s="128"/>
    </row>
    <row r="151" spans="1:8" ht="15.75" customHeight="1">
      <c r="A151" s="315" t="s">
        <v>182</v>
      </c>
      <c r="B151" s="315"/>
      <c r="C151" s="315"/>
      <c r="D151" s="315"/>
      <c r="E151" s="315"/>
      <c r="F151" s="315"/>
      <c r="G151" s="315"/>
      <c r="H151" s="315"/>
    </row>
    <row r="152" spans="1:6" ht="12" customHeight="1">
      <c r="A152" s="315"/>
      <c r="B152" s="315"/>
      <c r="C152" s="315"/>
      <c r="D152" s="315"/>
      <c r="E152" s="315"/>
      <c r="F152" s="315"/>
    </row>
    <row r="153" spans="1:8" ht="18.75">
      <c r="A153" s="315" t="s">
        <v>183</v>
      </c>
      <c r="B153" s="315"/>
      <c r="C153" s="315"/>
      <c r="D153" s="315"/>
      <c r="E153" s="315"/>
      <c r="F153" s="315"/>
      <c r="G153" s="315"/>
      <c r="H153" s="315"/>
    </row>
    <row r="154" spans="1:8" ht="9.75" customHeight="1">
      <c r="A154" s="109"/>
      <c r="B154" s="109"/>
      <c r="C154" s="109"/>
      <c r="D154" s="109"/>
      <c r="E154" s="109"/>
      <c r="F154" s="109"/>
      <c r="G154" s="109"/>
      <c r="H154" s="109"/>
    </row>
    <row r="155" spans="1:8" s="79" customFormat="1" ht="13.5" customHeight="1">
      <c r="A155" s="307" t="s">
        <v>184</v>
      </c>
      <c r="B155" s="307"/>
      <c r="C155" s="307"/>
      <c r="D155" s="307"/>
      <c r="E155" s="307"/>
      <c r="F155" s="307"/>
      <c r="G155" s="307"/>
      <c r="H155" s="307"/>
    </row>
    <row r="156" spans="1:8" s="79" customFormat="1" ht="24" customHeight="1">
      <c r="A156" s="301" t="s">
        <v>104</v>
      </c>
      <c r="B156" s="301" t="s">
        <v>161</v>
      </c>
      <c r="C156" s="301" t="s">
        <v>106</v>
      </c>
      <c r="D156" s="301"/>
      <c r="E156" s="301"/>
      <c r="F156" s="301"/>
      <c r="G156" s="301"/>
      <c r="H156" s="302" t="s">
        <v>107</v>
      </c>
    </row>
    <row r="157" spans="1:8" ht="51" customHeight="1">
      <c r="A157" s="301"/>
      <c r="B157" s="301"/>
      <c r="C157" s="301" t="s">
        <v>108</v>
      </c>
      <c r="D157" s="301"/>
      <c r="E157" s="301"/>
      <c r="F157" s="301"/>
      <c r="G157" s="85" t="s">
        <v>12</v>
      </c>
      <c r="H157" s="302"/>
    </row>
    <row r="158" spans="1:8" s="84" customFormat="1" ht="45">
      <c r="A158" s="301"/>
      <c r="B158" s="301"/>
      <c r="C158" s="87" t="s">
        <v>185</v>
      </c>
      <c r="D158" s="87" t="s">
        <v>186</v>
      </c>
      <c r="E158" s="87" t="s">
        <v>187</v>
      </c>
      <c r="F158" s="129" t="s">
        <v>112</v>
      </c>
      <c r="G158" s="100" t="s">
        <v>112</v>
      </c>
      <c r="H158" s="302"/>
    </row>
    <row r="159" spans="1:8" ht="15">
      <c r="A159" s="87">
        <v>1</v>
      </c>
      <c r="B159" s="86">
        <v>2</v>
      </c>
      <c r="C159" s="87">
        <v>3</v>
      </c>
      <c r="D159" s="87">
        <v>4</v>
      </c>
      <c r="E159" s="87">
        <v>5</v>
      </c>
      <c r="F159" s="88" t="s">
        <v>188</v>
      </c>
      <c r="G159" s="88">
        <v>7</v>
      </c>
      <c r="H159" s="88" t="s">
        <v>113</v>
      </c>
    </row>
    <row r="160" spans="1:8" ht="29.25" customHeight="1">
      <c r="A160" s="91" t="s">
        <v>165</v>
      </c>
      <c r="B160" s="144" t="s">
        <v>189</v>
      </c>
      <c r="C160" s="91">
        <v>10</v>
      </c>
      <c r="D160" s="91">
        <v>12</v>
      </c>
      <c r="E160" s="121">
        <f>F160/C160/D160</f>
        <v>367.5</v>
      </c>
      <c r="F160" s="121">
        <v>44100</v>
      </c>
      <c r="G160" s="142">
        <v>0</v>
      </c>
      <c r="H160" s="142">
        <f>F160+G160</f>
        <v>44100</v>
      </c>
    </row>
    <row r="161" spans="1:8" ht="16.5" customHeight="1">
      <c r="A161" s="91" t="s">
        <v>167</v>
      </c>
      <c r="B161" s="135" t="s">
        <v>190</v>
      </c>
      <c r="C161" s="91"/>
      <c r="D161" s="91"/>
      <c r="E161" s="121"/>
      <c r="F161" s="121"/>
      <c r="G161" s="142">
        <v>160000</v>
      </c>
      <c r="H161" s="142">
        <f>F161+G161</f>
        <v>160000</v>
      </c>
    </row>
    <row r="162" spans="1:8" ht="29.25" customHeight="1">
      <c r="A162" s="91" t="s">
        <v>169</v>
      </c>
      <c r="B162" s="145" t="s">
        <v>191</v>
      </c>
      <c r="C162" s="91"/>
      <c r="D162" s="91"/>
      <c r="E162" s="121"/>
      <c r="F162" s="121"/>
      <c r="G162" s="142">
        <v>100000</v>
      </c>
      <c r="H162" s="142">
        <f>F162+G162</f>
        <v>100000</v>
      </c>
    </row>
    <row r="163" spans="1:8" ht="29.25" customHeight="1">
      <c r="A163" s="91" t="s">
        <v>171</v>
      </c>
      <c r="B163" s="135" t="s">
        <v>192</v>
      </c>
      <c r="C163" s="91"/>
      <c r="D163" s="91"/>
      <c r="E163" s="121"/>
      <c r="F163" s="121"/>
      <c r="G163" s="142">
        <f>8300+2483+221.41</f>
        <v>11004.41</v>
      </c>
      <c r="H163" s="142">
        <f>F163+G163</f>
        <v>11004.41</v>
      </c>
    </row>
    <row r="164" spans="1:8" ht="15" customHeight="1">
      <c r="A164" s="296" t="s">
        <v>118</v>
      </c>
      <c r="B164" s="296"/>
      <c r="C164" s="105">
        <f>SUM(C160:C160)</f>
        <v>10</v>
      </c>
      <c r="D164" s="105" t="s">
        <v>119</v>
      </c>
      <c r="E164" s="105" t="s">
        <v>119</v>
      </c>
      <c r="F164" s="137">
        <f>SUM(F160:F163)</f>
        <v>44100</v>
      </c>
      <c r="G164" s="137">
        <f>SUM(G160:G163)</f>
        <v>271004.41</v>
      </c>
      <c r="H164" s="137">
        <f>SUM(H160:H163)</f>
        <v>315104.41</v>
      </c>
    </row>
    <row r="165" spans="1:6" ht="15.75">
      <c r="A165" s="138"/>
      <c r="B165" s="138"/>
      <c r="C165" s="113"/>
      <c r="D165" s="113"/>
      <c r="E165" s="113"/>
      <c r="F165" s="139"/>
    </row>
    <row r="166" spans="1:8" ht="18.75">
      <c r="A166" s="315" t="s">
        <v>193</v>
      </c>
      <c r="B166" s="315"/>
      <c r="C166" s="315"/>
      <c r="D166" s="315"/>
      <c r="E166" s="315"/>
      <c r="F166" s="315"/>
      <c r="G166" s="315"/>
      <c r="H166" s="315"/>
    </row>
    <row r="167" spans="1:8" s="79" customFormat="1" ht="18.75" customHeight="1">
      <c r="A167" s="307" t="s">
        <v>194</v>
      </c>
      <c r="B167" s="307"/>
      <c r="C167" s="307"/>
      <c r="D167" s="307"/>
      <c r="E167" s="307"/>
      <c r="F167" s="307"/>
      <c r="G167" s="307"/>
      <c r="H167" s="307"/>
    </row>
    <row r="168" spans="1:5" s="79" customFormat="1" ht="11.25" customHeight="1">
      <c r="A168" s="82"/>
      <c r="B168" s="82"/>
      <c r="C168" s="82"/>
      <c r="D168" s="82"/>
      <c r="E168" s="82"/>
    </row>
    <row r="169" spans="1:8" s="79" customFormat="1" ht="27.75" customHeight="1">
      <c r="A169" s="301" t="s">
        <v>104</v>
      </c>
      <c r="B169" s="301" t="s">
        <v>161</v>
      </c>
      <c r="C169" s="301"/>
      <c r="D169" s="301" t="s">
        <v>106</v>
      </c>
      <c r="E169" s="301"/>
      <c r="F169" s="301"/>
      <c r="G169" s="301"/>
      <c r="H169" s="302" t="s">
        <v>107</v>
      </c>
    </row>
    <row r="170" spans="1:8" ht="48">
      <c r="A170" s="301"/>
      <c r="B170" s="301"/>
      <c r="C170" s="301"/>
      <c r="D170" s="301" t="s">
        <v>108</v>
      </c>
      <c r="E170" s="301"/>
      <c r="F170" s="301"/>
      <c r="G170" s="85" t="s">
        <v>12</v>
      </c>
      <c r="H170" s="302"/>
    </row>
    <row r="171" spans="1:8" s="84" customFormat="1" ht="27.75" customHeight="1">
      <c r="A171" s="301"/>
      <c r="B171" s="301"/>
      <c r="C171" s="301"/>
      <c r="D171" s="86" t="s">
        <v>195</v>
      </c>
      <c r="E171" s="86" t="s">
        <v>196</v>
      </c>
      <c r="F171" s="87" t="s">
        <v>112</v>
      </c>
      <c r="G171" s="100" t="s">
        <v>112</v>
      </c>
      <c r="H171" s="302"/>
    </row>
    <row r="172" spans="1:8" ht="15.75">
      <c r="A172" s="91">
        <v>1</v>
      </c>
      <c r="B172" s="303">
        <v>2</v>
      </c>
      <c r="C172" s="303"/>
      <c r="D172" s="91">
        <v>3</v>
      </c>
      <c r="E172" s="91">
        <v>4</v>
      </c>
      <c r="F172" s="91" t="s">
        <v>124</v>
      </c>
      <c r="G172" s="91">
        <v>6</v>
      </c>
      <c r="H172" s="91" t="s">
        <v>125</v>
      </c>
    </row>
    <row r="173" spans="1:8" ht="29.25" customHeight="1">
      <c r="A173" s="91" t="s">
        <v>165</v>
      </c>
      <c r="B173" s="305" t="s">
        <v>197</v>
      </c>
      <c r="C173" s="305"/>
      <c r="D173" s="91">
        <v>10</v>
      </c>
      <c r="E173" s="121">
        <f>F173/D173</f>
        <v>5000</v>
      </c>
      <c r="F173" s="121">
        <f>22900+27100</f>
        <v>50000</v>
      </c>
      <c r="G173" s="146">
        <v>0</v>
      </c>
      <c r="H173" s="146">
        <f>F173+G173</f>
        <v>50000</v>
      </c>
    </row>
    <row r="174" spans="1:8" ht="32.25" customHeight="1">
      <c r="A174" s="91" t="s">
        <v>167</v>
      </c>
      <c r="B174" s="305" t="s">
        <v>198</v>
      </c>
      <c r="C174" s="305"/>
      <c r="D174" s="91"/>
      <c r="E174" s="121"/>
      <c r="F174" s="121"/>
      <c r="G174" s="146">
        <v>209000</v>
      </c>
      <c r="H174" s="146">
        <f>F174+G174</f>
        <v>209000</v>
      </c>
    </row>
    <row r="175" spans="1:8" ht="18" customHeight="1">
      <c r="A175" s="296" t="s">
        <v>118</v>
      </c>
      <c r="B175" s="296"/>
      <c r="C175" s="296"/>
      <c r="D175" s="105"/>
      <c r="E175" s="137"/>
      <c r="F175" s="137">
        <f>SUM(F173:F174)</f>
        <v>50000</v>
      </c>
      <c r="G175" s="137">
        <f>SUM(G173:G174)</f>
        <v>209000</v>
      </c>
      <c r="H175" s="137">
        <f>SUM(H173:H174)</f>
        <v>259000</v>
      </c>
    </row>
    <row r="176" spans="1:8" ht="101.25" customHeight="1">
      <c r="A176" s="138"/>
      <c r="B176" s="138"/>
      <c r="C176" s="138"/>
      <c r="D176" s="113"/>
      <c r="E176" s="139"/>
      <c r="F176" s="139"/>
      <c r="G176" s="139"/>
      <c r="H176" s="139"/>
    </row>
    <row r="177" spans="1:8" ht="18.75" customHeight="1">
      <c r="A177" s="315" t="s">
        <v>199</v>
      </c>
      <c r="B177" s="315"/>
      <c r="C177" s="315"/>
      <c r="D177" s="315"/>
      <c r="E177" s="315"/>
      <c r="F177" s="315"/>
      <c r="G177" s="315"/>
      <c r="H177" s="315"/>
    </row>
    <row r="178" spans="1:8" s="79" customFormat="1" ht="18.75" customHeight="1">
      <c r="A178" s="307" t="s">
        <v>200</v>
      </c>
      <c r="B178" s="307"/>
      <c r="C178" s="307"/>
      <c r="D178" s="307"/>
      <c r="E178" s="307"/>
      <c r="F178" s="307"/>
      <c r="G178" s="307"/>
      <c r="H178" s="307"/>
    </row>
    <row r="179" spans="1:8" s="79" customFormat="1" ht="18.75" customHeight="1">
      <c r="A179" s="301" t="s">
        <v>104</v>
      </c>
      <c r="B179" s="301" t="s">
        <v>2</v>
      </c>
      <c r="C179" s="301" t="s">
        <v>106</v>
      </c>
      <c r="D179" s="301"/>
      <c r="E179" s="301"/>
      <c r="F179" s="301"/>
      <c r="G179" s="301"/>
      <c r="H179" s="302" t="s">
        <v>107</v>
      </c>
    </row>
    <row r="180" spans="1:8" ht="46.5" customHeight="1">
      <c r="A180" s="301"/>
      <c r="B180" s="301"/>
      <c r="C180" s="301" t="s">
        <v>108</v>
      </c>
      <c r="D180" s="301"/>
      <c r="E180" s="301"/>
      <c r="F180" s="301"/>
      <c r="G180" s="85" t="s">
        <v>12</v>
      </c>
      <c r="H180" s="302"/>
    </row>
    <row r="181" spans="1:8" s="84" customFormat="1" ht="39.75" customHeight="1">
      <c r="A181" s="301"/>
      <c r="B181" s="301"/>
      <c r="C181" s="86" t="s">
        <v>201</v>
      </c>
      <c r="D181" s="87" t="s">
        <v>202</v>
      </c>
      <c r="E181" s="87" t="s">
        <v>203</v>
      </c>
      <c r="F181" s="129" t="s">
        <v>112</v>
      </c>
      <c r="G181" s="100" t="s">
        <v>112</v>
      </c>
      <c r="H181" s="302"/>
    </row>
    <row r="182" spans="1:8" ht="15.75">
      <c r="A182" s="91">
        <v>1</v>
      </c>
      <c r="B182" s="91">
        <v>2</v>
      </c>
      <c r="C182" s="91">
        <v>3</v>
      </c>
      <c r="D182" s="91">
        <v>4</v>
      </c>
      <c r="E182" s="91">
        <v>5</v>
      </c>
      <c r="F182" s="147" t="s">
        <v>188</v>
      </c>
      <c r="G182" s="91">
        <v>7</v>
      </c>
      <c r="H182" s="147" t="s">
        <v>113</v>
      </c>
    </row>
    <row r="183" spans="1:8" ht="32.25" customHeight="1">
      <c r="A183" s="303">
        <v>1</v>
      </c>
      <c r="B183" s="148" t="s">
        <v>204</v>
      </c>
      <c r="C183" s="91">
        <v>13642.8</v>
      </c>
      <c r="D183" s="121">
        <v>72.83</v>
      </c>
      <c r="E183" s="91">
        <v>1</v>
      </c>
      <c r="F183" s="121">
        <f>C183*D183*E183</f>
        <v>993605.124</v>
      </c>
      <c r="G183" s="142">
        <v>0</v>
      </c>
      <c r="H183" s="142">
        <f>F183+G183</f>
        <v>993605.124</v>
      </c>
    </row>
    <row r="184" spans="1:8" ht="34.5" customHeight="1">
      <c r="A184" s="303"/>
      <c r="B184" s="149" t="s">
        <v>205</v>
      </c>
      <c r="C184" s="91">
        <v>13642.8</v>
      </c>
      <c r="D184" s="121">
        <v>76.03</v>
      </c>
      <c r="E184" s="91">
        <v>1</v>
      </c>
      <c r="F184" s="121">
        <f>C184*D184*E184</f>
        <v>1037262.0839999999</v>
      </c>
      <c r="G184" s="142">
        <v>0</v>
      </c>
      <c r="H184" s="142">
        <f>F184+G184</f>
        <v>1037262.0839999999</v>
      </c>
    </row>
    <row r="185" spans="1:8" ht="29.25" customHeight="1">
      <c r="A185" s="322">
        <v>2</v>
      </c>
      <c r="B185" s="150" t="s">
        <v>206</v>
      </c>
      <c r="C185" s="91">
        <f>C183/2</f>
        <v>6821.4</v>
      </c>
      <c r="D185" s="121">
        <v>28.8</v>
      </c>
      <c r="E185" s="91">
        <v>1</v>
      </c>
      <c r="F185" s="121">
        <f>C185*D185*E185</f>
        <v>196456.32</v>
      </c>
      <c r="G185" s="142"/>
      <c r="H185" s="142">
        <f>F185+G185</f>
        <v>196456.32</v>
      </c>
    </row>
    <row r="186" spans="1:8" ht="28.5" customHeight="1">
      <c r="A186" s="322"/>
      <c r="B186" s="150" t="s">
        <v>207</v>
      </c>
      <c r="C186" s="91">
        <f>C184/2</f>
        <v>6821.4</v>
      </c>
      <c r="D186" s="121">
        <v>29.81</v>
      </c>
      <c r="E186" s="91">
        <v>1</v>
      </c>
      <c r="F186" s="121">
        <f>C186*D186*E186+30.54</f>
        <v>203376.474</v>
      </c>
      <c r="G186" s="142"/>
      <c r="H186" s="142">
        <f>F186+G186</f>
        <v>203376.474</v>
      </c>
    </row>
    <row r="187" spans="1:8" ht="21" customHeight="1">
      <c r="A187" s="296" t="s">
        <v>118</v>
      </c>
      <c r="B187" s="296"/>
      <c r="C187" s="105" t="s">
        <v>119</v>
      </c>
      <c r="D187" s="105" t="s">
        <v>119</v>
      </c>
      <c r="E187" s="105" t="s">
        <v>119</v>
      </c>
      <c r="F187" s="137">
        <f>SUM(F183:F186)</f>
        <v>2430700.002</v>
      </c>
      <c r="G187" s="137">
        <f>SUM(G183:G186)</f>
        <v>0</v>
      </c>
      <c r="H187" s="137">
        <f>SUM(H183:H186)</f>
        <v>2430700.002</v>
      </c>
    </row>
    <row r="188" spans="1:6" ht="13.5" customHeight="1">
      <c r="A188" s="151"/>
      <c r="B188" s="152"/>
      <c r="C188" s="152"/>
      <c r="D188" s="152"/>
      <c r="E188" s="152"/>
      <c r="F188" s="153"/>
    </row>
    <row r="189" spans="1:8" ht="13.5" customHeight="1">
      <c r="A189" s="307" t="s">
        <v>208</v>
      </c>
      <c r="B189" s="307"/>
      <c r="C189" s="307"/>
      <c r="D189" s="307"/>
      <c r="E189" s="307"/>
      <c r="F189" s="307"/>
      <c r="G189" s="307"/>
      <c r="H189" s="307"/>
    </row>
    <row r="190" spans="1:8" ht="13.5" customHeight="1">
      <c r="A190" s="301" t="s">
        <v>104</v>
      </c>
      <c r="B190" s="301" t="s">
        <v>2</v>
      </c>
      <c r="C190" s="301" t="s">
        <v>106</v>
      </c>
      <c r="D190" s="301"/>
      <c r="E190" s="301"/>
      <c r="F190" s="301"/>
      <c r="G190" s="301"/>
      <c r="H190" s="302" t="s">
        <v>107</v>
      </c>
    </row>
    <row r="191" spans="1:8" ht="49.5" customHeight="1">
      <c r="A191" s="301"/>
      <c r="B191" s="301"/>
      <c r="C191" s="301" t="s">
        <v>108</v>
      </c>
      <c r="D191" s="301"/>
      <c r="E191" s="301"/>
      <c r="F191" s="301"/>
      <c r="G191" s="85" t="s">
        <v>12</v>
      </c>
      <c r="H191" s="302"/>
    </row>
    <row r="192" spans="1:8" ht="36.75" customHeight="1">
      <c r="A192" s="301"/>
      <c r="B192" s="301"/>
      <c r="C192" s="86" t="s">
        <v>201</v>
      </c>
      <c r="D192" s="87" t="s">
        <v>202</v>
      </c>
      <c r="E192" s="87" t="s">
        <v>203</v>
      </c>
      <c r="F192" s="129" t="s">
        <v>112</v>
      </c>
      <c r="G192" s="100" t="s">
        <v>112</v>
      </c>
      <c r="H192" s="302"/>
    </row>
    <row r="193" spans="1:8" ht="13.5" customHeight="1">
      <c r="A193" s="91">
        <v>1</v>
      </c>
      <c r="B193" s="91">
        <v>2</v>
      </c>
      <c r="C193" s="91">
        <v>3</v>
      </c>
      <c r="D193" s="91">
        <v>4</v>
      </c>
      <c r="E193" s="91">
        <v>5</v>
      </c>
      <c r="F193" s="147" t="s">
        <v>188</v>
      </c>
      <c r="G193" s="91">
        <v>7</v>
      </c>
      <c r="H193" s="147" t="s">
        <v>113</v>
      </c>
    </row>
    <row r="194" spans="1:8" ht="17.25" customHeight="1">
      <c r="A194" s="303">
        <v>2</v>
      </c>
      <c r="B194" s="154" t="s">
        <v>209</v>
      </c>
      <c r="C194" s="91">
        <v>210900</v>
      </c>
      <c r="D194" s="121">
        <v>7.39</v>
      </c>
      <c r="E194" s="91">
        <v>1</v>
      </c>
      <c r="F194" s="121">
        <f>C194*D194*E194-1</f>
        <v>1558550</v>
      </c>
      <c r="G194" s="142">
        <v>0</v>
      </c>
      <c r="H194" s="142">
        <f aca="true" t="shared" si="1" ref="H194:H201">F194+G194</f>
        <v>1558550</v>
      </c>
    </row>
    <row r="195" spans="1:8" ht="17.25" customHeight="1">
      <c r="A195" s="303"/>
      <c r="B195" s="154" t="s">
        <v>210</v>
      </c>
      <c r="C195" s="91">
        <v>210900</v>
      </c>
      <c r="D195" s="121">
        <v>8.06</v>
      </c>
      <c r="E195" s="91">
        <v>1</v>
      </c>
      <c r="F195" s="121">
        <f>C195*D195*E195-4</f>
        <v>1699850</v>
      </c>
      <c r="G195" s="142">
        <v>0</v>
      </c>
      <c r="H195" s="142">
        <f t="shared" si="1"/>
        <v>1699850</v>
      </c>
    </row>
    <row r="196" spans="1:8" ht="22.5" customHeight="1">
      <c r="A196" s="303">
        <v>3</v>
      </c>
      <c r="B196" s="305" t="s">
        <v>211</v>
      </c>
      <c r="C196" s="155">
        <v>182.6</v>
      </c>
      <c r="D196" s="121">
        <v>4492.58</v>
      </c>
      <c r="E196" s="91">
        <v>1</v>
      </c>
      <c r="F196" s="121">
        <f>C196*D196*E196</f>
        <v>820345.108</v>
      </c>
      <c r="G196" s="142">
        <v>0</v>
      </c>
      <c r="H196" s="142">
        <f t="shared" si="1"/>
        <v>820345.108</v>
      </c>
    </row>
    <row r="197" spans="1:8" ht="21.75" customHeight="1">
      <c r="A197" s="303"/>
      <c r="B197" s="305"/>
      <c r="C197" s="156">
        <v>182.6</v>
      </c>
      <c r="D197" s="121">
        <v>2617.18</v>
      </c>
      <c r="E197" s="91">
        <v>1</v>
      </c>
      <c r="F197" s="121">
        <f>C197*D197*E197</f>
        <v>477897.06799999997</v>
      </c>
      <c r="G197" s="142">
        <v>0</v>
      </c>
      <c r="H197" s="142">
        <f t="shared" si="1"/>
        <v>477897.06799999997</v>
      </c>
    </row>
    <row r="198" spans="1:8" ht="28.5" customHeight="1">
      <c r="A198" s="303"/>
      <c r="B198" s="305" t="s">
        <v>212</v>
      </c>
      <c r="C198" s="155">
        <v>182.6</v>
      </c>
      <c r="D198" s="121">
        <v>4629.41</v>
      </c>
      <c r="E198" s="91">
        <v>1</v>
      </c>
      <c r="F198" s="121">
        <f>C198*D198*E198</f>
        <v>845330.266</v>
      </c>
      <c r="G198" s="142">
        <v>0</v>
      </c>
      <c r="H198" s="142">
        <f t="shared" si="1"/>
        <v>845330.266</v>
      </c>
    </row>
    <row r="199" spans="1:8" ht="21" customHeight="1">
      <c r="A199" s="303"/>
      <c r="B199" s="305"/>
      <c r="C199" s="156">
        <v>182.6</v>
      </c>
      <c r="D199" s="121">
        <v>2721.87</v>
      </c>
      <c r="E199" s="91">
        <v>1</v>
      </c>
      <c r="F199" s="121">
        <f>C199*D199*E199+14.1</f>
        <v>497027.5619999999</v>
      </c>
      <c r="G199" s="142">
        <v>0</v>
      </c>
      <c r="H199" s="142">
        <f t="shared" si="1"/>
        <v>497027.5619999999</v>
      </c>
    </row>
    <row r="200" spans="1:8" ht="30" customHeight="1">
      <c r="A200" s="303">
        <v>4</v>
      </c>
      <c r="B200" s="157" t="s">
        <v>213</v>
      </c>
      <c r="C200" s="158">
        <v>412.2</v>
      </c>
      <c r="D200" s="121">
        <v>4492.58</v>
      </c>
      <c r="E200" s="91">
        <v>1</v>
      </c>
      <c r="F200" s="121">
        <f>C200*D200*E200</f>
        <v>1851841.476</v>
      </c>
      <c r="G200" s="142">
        <v>0</v>
      </c>
      <c r="H200" s="142">
        <f t="shared" si="1"/>
        <v>1851841.476</v>
      </c>
    </row>
    <row r="201" spans="1:8" ht="31.5" customHeight="1">
      <c r="A201" s="303"/>
      <c r="B201" s="157" t="s">
        <v>214</v>
      </c>
      <c r="C201" s="158">
        <v>412.2</v>
      </c>
      <c r="D201" s="121">
        <v>4629.41</v>
      </c>
      <c r="E201" s="91">
        <v>1</v>
      </c>
      <c r="F201" s="121">
        <f>C201*D201*E201+15.72</f>
        <v>1908258.5219999999</v>
      </c>
      <c r="G201" s="142">
        <v>0</v>
      </c>
      <c r="H201" s="142">
        <f t="shared" si="1"/>
        <v>1908258.5219999999</v>
      </c>
    </row>
    <row r="202" spans="1:8" ht="13.5" customHeight="1">
      <c r="A202" s="296" t="s">
        <v>118</v>
      </c>
      <c r="B202" s="296"/>
      <c r="C202" s="105" t="s">
        <v>119</v>
      </c>
      <c r="D202" s="105" t="s">
        <v>119</v>
      </c>
      <c r="E202" s="105" t="s">
        <v>119</v>
      </c>
      <c r="F202" s="137">
        <f>SUM(F194:F201)</f>
        <v>9659100.002</v>
      </c>
      <c r="G202" s="137">
        <f>SUM(G194:G201)</f>
        <v>0</v>
      </c>
      <c r="H202" s="137">
        <f>SUM(H194:H201)</f>
        <v>9659100.002</v>
      </c>
    </row>
    <row r="203" spans="1:6" ht="13.5" customHeight="1">
      <c r="A203" s="151"/>
      <c r="B203" s="152"/>
      <c r="C203" s="152"/>
      <c r="D203" s="152"/>
      <c r="E203" s="152"/>
      <c r="F203" s="153"/>
    </row>
    <row r="204" spans="1:8" ht="18.75">
      <c r="A204" s="315" t="s">
        <v>215</v>
      </c>
      <c r="B204" s="315"/>
      <c r="C204" s="315"/>
      <c r="D204" s="315"/>
      <c r="E204" s="315"/>
      <c r="F204" s="315"/>
      <c r="G204" s="315"/>
      <c r="H204" s="315"/>
    </row>
    <row r="205" spans="1:8" ht="15.75">
      <c r="A205" s="317"/>
      <c r="B205" s="317"/>
      <c r="C205" s="317"/>
      <c r="D205" s="317"/>
      <c r="E205" s="317"/>
      <c r="F205" s="317"/>
      <c r="G205" s="317"/>
      <c r="H205" s="317"/>
    </row>
    <row r="206" spans="1:8" s="79" customFormat="1" ht="18.75" customHeight="1">
      <c r="A206" s="307" t="s">
        <v>216</v>
      </c>
      <c r="B206" s="307"/>
      <c r="C206" s="307"/>
      <c r="D206" s="307"/>
      <c r="E206" s="307"/>
      <c r="F206" s="307"/>
      <c r="G206" s="307"/>
      <c r="H206" s="307"/>
    </row>
    <row r="207" spans="1:8" ht="24" customHeight="1">
      <c r="A207" s="301" t="s">
        <v>104</v>
      </c>
      <c r="B207" s="302" t="s">
        <v>161</v>
      </c>
      <c r="C207" s="302"/>
      <c r="D207" s="301" t="s">
        <v>106</v>
      </c>
      <c r="E207" s="301"/>
      <c r="F207" s="301"/>
      <c r="G207" s="301"/>
      <c r="H207" s="302" t="s">
        <v>107</v>
      </c>
    </row>
    <row r="208" spans="1:8" ht="54.75" customHeight="1">
      <c r="A208" s="301"/>
      <c r="B208" s="302"/>
      <c r="C208" s="302"/>
      <c r="D208" s="301" t="s">
        <v>108</v>
      </c>
      <c r="E208" s="301"/>
      <c r="F208" s="301"/>
      <c r="G208" s="85" t="s">
        <v>12</v>
      </c>
      <c r="H208" s="302"/>
    </row>
    <row r="209" spans="1:8" s="84" customFormat="1" ht="30" customHeight="1">
      <c r="A209" s="301"/>
      <c r="B209" s="302"/>
      <c r="C209" s="302"/>
      <c r="D209" s="87" t="s">
        <v>217</v>
      </c>
      <c r="E209" s="87" t="s">
        <v>218</v>
      </c>
      <c r="F209" s="87" t="s">
        <v>112</v>
      </c>
      <c r="G209" s="100" t="s">
        <v>112</v>
      </c>
      <c r="H209" s="302"/>
    </row>
    <row r="210" spans="1:8" ht="15.75">
      <c r="A210" s="91">
        <v>1</v>
      </c>
      <c r="B210" s="303">
        <v>2</v>
      </c>
      <c r="C210" s="303"/>
      <c r="D210" s="91">
        <v>3</v>
      </c>
      <c r="E210" s="91">
        <v>4</v>
      </c>
      <c r="F210" s="91">
        <v>5</v>
      </c>
      <c r="G210" s="91">
        <v>6</v>
      </c>
      <c r="H210" s="91" t="s">
        <v>125</v>
      </c>
    </row>
    <row r="211" spans="1:8" ht="19.5" customHeight="1">
      <c r="A211" s="91">
        <v>1</v>
      </c>
      <c r="B211" s="318" t="s">
        <v>219</v>
      </c>
      <c r="C211" s="318"/>
      <c r="D211" s="159" t="s">
        <v>220</v>
      </c>
      <c r="E211" s="91">
        <v>12</v>
      </c>
      <c r="F211" s="121">
        <v>212200</v>
      </c>
      <c r="G211" s="142">
        <f>342250-84400-59000-10200</f>
        <v>188650</v>
      </c>
      <c r="H211" s="142">
        <f aca="true" t="shared" si="2" ref="H211:H224">F211+G211</f>
        <v>400850</v>
      </c>
    </row>
    <row r="212" spans="1:8" ht="15.75" customHeight="1">
      <c r="A212" s="91">
        <v>2</v>
      </c>
      <c r="B212" s="310" t="s">
        <v>221</v>
      </c>
      <c r="C212" s="310"/>
      <c r="D212" s="159" t="s">
        <v>220</v>
      </c>
      <c r="E212" s="91">
        <v>12</v>
      </c>
      <c r="F212" s="121">
        <v>171700</v>
      </c>
      <c r="G212" s="142">
        <f>800000+600000-70000+84400+59000+57750-1100000-200000</f>
        <v>231150</v>
      </c>
      <c r="H212" s="142">
        <f t="shared" si="2"/>
        <v>402850</v>
      </c>
    </row>
    <row r="213" spans="1:8" ht="33.75" customHeight="1">
      <c r="A213" s="91">
        <v>3</v>
      </c>
      <c r="B213" s="310" t="s">
        <v>222</v>
      </c>
      <c r="C213" s="310"/>
      <c r="D213" s="159" t="s">
        <v>220</v>
      </c>
      <c r="E213" s="91">
        <v>12</v>
      </c>
      <c r="F213" s="121"/>
      <c r="G213" s="142"/>
      <c r="H213" s="142">
        <f t="shared" si="2"/>
        <v>0</v>
      </c>
    </row>
    <row r="214" spans="1:8" ht="32.25" customHeight="1">
      <c r="A214" s="91">
        <v>4</v>
      </c>
      <c r="B214" s="318" t="s">
        <v>223</v>
      </c>
      <c r="C214" s="318"/>
      <c r="D214" s="159" t="s">
        <v>220</v>
      </c>
      <c r="E214" s="91">
        <v>12</v>
      </c>
      <c r="F214" s="121">
        <v>8100</v>
      </c>
      <c r="G214" s="142">
        <f>208900+270000</f>
        <v>478900</v>
      </c>
      <c r="H214" s="142">
        <f t="shared" si="2"/>
        <v>487000</v>
      </c>
    </row>
    <row r="215" spans="1:8" ht="117" customHeight="1">
      <c r="A215" s="91">
        <v>5</v>
      </c>
      <c r="B215" s="320" t="s">
        <v>224</v>
      </c>
      <c r="C215" s="320"/>
      <c r="D215" s="159" t="s">
        <v>220</v>
      </c>
      <c r="E215" s="91">
        <v>12</v>
      </c>
      <c r="F215" s="121">
        <f>617400-217000</f>
        <v>400400</v>
      </c>
      <c r="G215" s="142">
        <f>420400+100000+1645.73+1000+1484.37+400000+800000</f>
        <v>1724530.1</v>
      </c>
      <c r="H215" s="142">
        <f t="shared" si="2"/>
        <v>2124930.1</v>
      </c>
    </row>
    <row r="216" spans="1:8" ht="31.5" customHeight="1">
      <c r="A216" s="91">
        <v>6</v>
      </c>
      <c r="B216" s="320" t="s">
        <v>225</v>
      </c>
      <c r="C216" s="320"/>
      <c r="D216" s="159" t="s">
        <v>220</v>
      </c>
      <c r="E216" s="91">
        <v>12</v>
      </c>
      <c r="F216" s="160">
        <v>171400</v>
      </c>
      <c r="G216" s="142">
        <f>800000-300000-134505.14</f>
        <v>365494.86</v>
      </c>
      <c r="H216" s="142">
        <f t="shared" si="2"/>
        <v>536894.86</v>
      </c>
    </row>
    <row r="217" spans="1:8" ht="80.25" customHeight="1">
      <c r="A217" s="91">
        <v>7</v>
      </c>
      <c r="B217" s="321" t="s">
        <v>382</v>
      </c>
      <c r="C217" s="321"/>
      <c r="D217" s="161" t="s">
        <v>220</v>
      </c>
      <c r="E217" s="162">
        <v>12</v>
      </c>
      <c r="F217" s="163">
        <f>423000+217000</f>
        <v>640000</v>
      </c>
      <c r="G217" s="142">
        <f>150000</f>
        <v>150000</v>
      </c>
      <c r="H217" s="142">
        <f t="shared" si="2"/>
        <v>790000</v>
      </c>
    </row>
    <row r="218" spans="1:8" ht="17.25" customHeight="1">
      <c r="A218" s="91">
        <v>8</v>
      </c>
      <c r="B218" s="319" t="s">
        <v>227</v>
      </c>
      <c r="C218" s="319"/>
      <c r="D218" s="161" t="s">
        <v>220</v>
      </c>
      <c r="E218" s="162">
        <v>12</v>
      </c>
      <c r="F218" s="163"/>
      <c r="G218" s="142">
        <f>120000+10200</f>
        <v>130200</v>
      </c>
      <c r="H218" s="142">
        <f t="shared" si="2"/>
        <v>130200</v>
      </c>
    </row>
    <row r="219" spans="1:8" ht="17.25" customHeight="1">
      <c r="A219" s="91">
        <v>9</v>
      </c>
      <c r="B219" s="319" t="s">
        <v>228</v>
      </c>
      <c r="C219" s="319"/>
      <c r="D219" s="161" t="s">
        <v>220</v>
      </c>
      <c r="E219" s="162">
        <v>12</v>
      </c>
      <c r="F219" s="163"/>
      <c r="G219" s="142">
        <f>2000000-273000-650000+1000000+1000000+1500000</f>
        <v>4577000</v>
      </c>
      <c r="H219" s="142">
        <f t="shared" si="2"/>
        <v>4577000</v>
      </c>
    </row>
    <row r="220" spans="1:8" ht="44.25" customHeight="1">
      <c r="A220" s="91">
        <v>10</v>
      </c>
      <c r="B220" s="319" t="s">
        <v>229</v>
      </c>
      <c r="C220" s="319"/>
      <c r="D220" s="161" t="s">
        <v>220</v>
      </c>
      <c r="E220" s="162">
        <v>12</v>
      </c>
      <c r="F220" s="163"/>
      <c r="G220" s="142">
        <f>391100-149128.16</f>
        <v>241971.84</v>
      </c>
      <c r="H220" s="142">
        <f t="shared" si="2"/>
        <v>241971.84</v>
      </c>
    </row>
    <row r="221" spans="1:8" ht="19.5" customHeight="1">
      <c r="A221" s="91">
        <v>11</v>
      </c>
      <c r="B221" s="319" t="s">
        <v>230</v>
      </c>
      <c r="C221" s="319"/>
      <c r="D221" s="161" t="s">
        <v>220</v>
      </c>
      <c r="E221" s="162">
        <v>12</v>
      </c>
      <c r="F221" s="163"/>
      <c r="G221" s="142">
        <v>30000</v>
      </c>
      <c r="H221" s="142">
        <f t="shared" si="2"/>
        <v>30000</v>
      </c>
    </row>
    <row r="222" spans="1:8" ht="91.5" customHeight="1">
      <c r="A222" s="91">
        <v>12</v>
      </c>
      <c r="B222" s="319" t="s">
        <v>231</v>
      </c>
      <c r="C222" s="319"/>
      <c r="D222" s="161" t="s">
        <v>220</v>
      </c>
      <c r="E222" s="162">
        <v>12</v>
      </c>
      <c r="F222" s="163"/>
      <c r="G222" s="142">
        <v>89000</v>
      </c>
      <c r="H222" s="142">
        <f t="shared" si="2"/>
        <v>89000</v>
      </c>
    </row>
    <row r="223" spans="1:8" ht="20.25" customHeight="1">
      <c r="A223" s="91">
        <v>13</v>
      </c>
      <c r="B223" s="319" t="s">
        <v>232</v>
      </c>
      <c r="C223" s="319"/>
      <c r="D223" s="161" t="s">
        <v>220</v>
      </c>
      <c r="E223" s="162">
        <v>12</v>
      </c>
      <c r="F223" s="163"/>
      <c r="G223" s="142">
        <v>50000</v>
      </c>
      <c r="H223" s="142">
        <f t="shared" si="2"/>
        <v>50000</v>
      </c>
    </row>
    <row r="224" spans="1:8" ht="16.5" customHeight="1">
      <c r="A224" s="91">
        <v>14</v>
      </c>
      <c r="B224" s="319" t="s">
        <v>233</v>
      </c>
      <c r="C224" s="319"/>
      <c r="D224" s="161" t="s">
        <v>220</v>
      </c>
      <c r="E224" s="162">
        <v>12</v>
      </c>
      <c r="F224" s="163"/>
      <c r="G224" s="142">
        <v>100000</v>
      </c>
      <c r="H224" s="142">
        <f t="shared" si="2"/>
        <v>100000</v>
      </c>
    </row>
    <row r="225" spans="1:8" ht="19.5" customHeight="1">
      <c r="A225" s="296" t="s">
        <v>118</v>
      </c>
      <c r="B225" s="296"/>
      <c r="C225" s="296"/>
      <c r="D225" s="105" t="s">
        <v>119</v>
      </c>
      <c r="E225" s="105" t="s">
        <v>119</v>
      </c>
      <c r="F225" s="137">
        <f>SUM(F211:F223)</f>
        <v>1603800</v>
      </c>
      <c r="G225" s="137">
        <f>SUM(G211:G224)</f>
        <v>8356896.8</v>
      </c>
      <c r="H225" s="137">
        <f>SUM(H211:H224)</f>
        <v>9960696.8</v>
      </c>
    </row>
    <row r="226" spans="1:6" ht="18" customHeight="1">
      <c r="A226" s="151"/>
      <c r="B226" s="152"/>
      <c r="C226" s="152"/>
      <c r="D226" s="152"/>
      <c r="E226" s="152"/>
      <c r="F226" s="153"/>
    </row>
    <row r="227" spans="1:8" ht="18.75">
      <c r="A227" s="315" t="s">
        <v>234</v>
      </c>
      <c r="B227" s="315"/>
      <c r="C227" s="315"/>
      <c r="D227" s="315"/>
      <c r="E227" s="315"/>
      <c r="F227" s="315"/>
      <c r="G227" s="315"/>
      <c r="H227" s="315"/>
    </row>
    <row r="228" spans="1:8" ht="10.5" customHeight="1">
      <c r="A228" s="317"/>
      <c r="B228" s="317"/>
      <c r="C228" s="317"/>
      <c r="D228" s="317"/>
      <c r="E228" s="317"/>
      <c r="F228" s="317"/>
      <c r="G228" s="317"/>
      <c r="H228" s="317"/>
    </row>
    <row r="229" spans="1:8" s="79" customFormat="1" ht="18.75" customHeight="1">
      <c r="A229" s="307" t="s">
        <v>235</v>
      </c>
      <c r="B229" s="307"/>
      <c r="C229" s="307"/>
      <c r="D229" s="307"/>
      <c r="E229" s="307"/>
      <c r="F229" s="307"/>
      <c r="G229" s="307"/>
      <c r="H229" s="307"/>
    </row>
    <row r="230" spans="1:8" ht="21.75" customHeight="1">
      <c r="A230" s="301" t="s">
        <v>104</v>
      </c>
      <c r="B230" s="302" t="s">
        <v>161</v>
      </c>
      <c r="C230" s="302"/>
      <c r="D230" s="302"/>
      <c r="E230" s="301" t="s">
        <v>106</v>
      </c>
      <c r="F230" s="301"/>
      <c r="G230" s="301"/>
      <c r="H230" s="302" t="s">
        <v>107</v>
      </c>
    </row>
    <row r="231" spans="1:8" ht="48">
      <c r="A231" s="301"/>
      <c r="B231" s="302"/>
      <c r="C231" s="302"/>
      <c r="D231" s="302"/>
      <c r="E231" s="301" t="s">
        <v>108</v>
      </c>
      <c r="F231" s="301"/>
      <c r="G231" s="85" t="s">
        <v>12</v>
      </c>
      <c r="H231" s="302"/>
    </row>
    <row r="232" spans="1:8" s="84" customFormat="1" ht="37.5" customHeight="1">
      <c r="A232" s="301"/>
      <c r="B232" s="302"/>
      <c r="C232" s="302"/>
      <c r="D232" s="302"/>
      <c r="E232" s="87" t="s">
        <v>178</v>
      </c>
      <c r="F232" s="87" t="s">
        <v>112</v>
      </c>
      <c r="G232" s="100" t="s">
        <v>112</v>
      </c>
      <c r="H232" s="302"/>
    </row>
    <row r="233" spans="1:8" ht="15.75">
      <c r="A233" s="91">
        <v>1</v>
      </c>
      <c r="B233" s="303">
        <v>2</v>
      </c>
      <c r="C233" s="303"/>
      <c r="D233" s="303"/>
      <c r="E233" s="91">
        <v>3</v>
      </c>
      <c r="F233" s="91">
        <v>4</v>
      </c>
      <c r="G233" s="91">
        <v>5</v>
      </c>
      <c r="H233" s="91" t="s">
        <v>179</v>
      </c>
    </row>
    <row r="234" spans="1:8" ht="30" customHeight="1">
      <c r="A234" s="91">
        <v>1</v>
      </c>
      <c r="B234" s="305" t="s">
        <v>236</v>
      </c>
      <c r="C234" s="305"/>
      <c r="D234" s="305"/>
      <c r="E234" s="91">
        <v>4</v>
      </c>
      <c r="F234" s="121">
        <v>308000</v>
      </c>
      <c r="G234" s="142">
        <f>100000+100000+110000-210100</f>
        <v>99900</v>
      </c>
      <c r="H234" s="142">
        <f aca="true" t="shared" si="3" ref="H234:H244">F234+G234</f>
        <v>407900</v>
      </c>
    </row>
    <row r="235" spans="1:8" ht="29.25" customHeight="1">
      <c r="A235" s="91">
        <v>2</v>
      </c>
      <c r="B235" s="305" t="s">
        <v>237</v>
      </c>
      <c r="C235" s="305"/>
      <c r="D235" s="305"/>
      <c r="E235" s="91">
        <v>3</v>
      </c>
      <c r="F235" s="121">
        <v>233600</v>
      </c>
      <c r="G235" s="142">
        <f>200000-110000+190000-139900</f>
        <v>140100</v>
      </c>
      <c r="H235" s="142">
        <f t="shared" si="3"/>
        <v>373700</v>
      </c>
    </row>
    <row r="236" spans="1:8" ht="18" customHeight="1">
      <c r="A236" s="91">
        <v>3</v>
      </c>
      <c r="B236" s="310" t="s">
        <v>238</v>
      </c>
      <c r="C236" s="310"/>
      <c r="D236" s="310"/>
      <c r="E236" s="91">
        <v>1</v>
      </c>
      <c r="F236" s="164">
        <f>4204800-1600000-618908</f>
        <v>1985892</v>
      </c>
      <c r="G236" s="165"/>
      <c r="H236" s="165">
        <f t="shared" si="3"/>
        <v>1985892</v>
      </c>
    </row>
    <row r="237" spans="1:8" ht="30" customHeight="1">
      <c r="A237" s="91">
        <v>4</v>
      </c>
      <c r="B237" s="318" t="s">
        <v>239</v>
      </c>
      <c r="C237" s="318"/>
      <c r="D237" s="318"/>
      <c r="E237" s="91">
        <v>2</v>
      </c>
      <c r="F237" s="121">
        <v>80000</v>
      </c>
      <c r="G237" s="142"/>
      <c r="H237" s="142">
        <f t="shared" si="3"/>
        <v>80000</v>
      </c>
    </row>
    <row r="238" spans="1:8" ht="18" customHeight="1">
      <c r="A238" s="91">
        <v>5</v>
      </c>
      <c r="B238" s="310" t="s">
        <v>240</v>
      </c>
      <c r="C238" s="310"/>
      <c r="D238" s="310"/>
      <c r="E238" s="91">
        <v>12</v>
      </c>
      <c r="F238" s="121">
        <v>134400</v>
      </c>
      <c r="G238" s="142">
        <f>200000-100000+19680+45000+35000</f>
        <v>199680</v>
      </c>
      <c r="H238" s="142">
        <f t="shared" si="3"/>
        <v>334080</v>
      </c>
    </row>
    <row r="239" spans="1:8" ht="33" customHeight="1">
      <c r="A239" s="91">
        <v>6</v>
      </c>
      <c r="B239" s="310" t="s">
        <v>241</v>
      </c>
      <c r="C239" s="310"/>
      <c r="D239" s="310"/>
      <c r="E239" s="91">
        <v>9</v>
      </c>
      <c r="F239" s="121">
        <f>308800-94900</f>
        <v>213900</v>
      </c>
      <c r="G239" s="142">
        <f>200000+27500+600-45000+35000</f>
        <v>218100</v>
      </c>
      <c r="H239" s="142">
        <f t="shared" si="3"/>
        <v>432000</v>
      </c>
    </row>
    <row r="240" spans="1:8" ht="63" customHeight="1">
      <c r="A240" s="91">
        <v>7</v>
      </c>
      <c r="B240" s="310" t="s">
        <v>242</v>
      </c>
      <c r="C240" s="310"/>
      <c r="D240" s="310"/>
      <c r="E240" s="91">
        <v>4</v>
      </c>
      <c r="F240" s="121"/>
      <c r="G240" s="142">
        <f>100000-19680+910000-600-860000-35000</f>
        <v>94720</v>
      </c>
      <c r="H240" s="142">
        <f t="shared" si="3"/>
        <v>94720</v>
      </c>
    </row>
    <row r="241" spans="1:8" ht="18" customHeight="1">
      <c r="A241" s="91">
        <v>8</v>
      </c>
      <c r="B241" s="310" t="s">
        <v>243</v>
      </c>
      <c r="C241" s="310"/>
      <c r="D241" s="310"/>
      <c r="E241" s="91">
        <v>1</v>
      </c>
      <c r="F241" s="121"/>
      <c r="G241" s="142">
        <f>5628-5628</f>
        <v>0</v>
      </c>
      <c r="H241" s="142">
        <f t="shared" si="3"/>
        <v>0</v>
      </c>
    </row>
    <row r="242" spans="1:8" ht="30.75" customHeight="1">
      <c r="A242" s="91">
        <v>9</v>
      </c>
      <c r="B242" s="310" t="s">
        <v>244</v>
      </c>
      <c r="C242" s="310"/>
      <c r="D242" s="310"/>
      <c r="E242" s="91">
        <v>1</v>
      </c>
      <c r="F242" s="121">
        <f>67800</f>
        <v>67800</v>
      </c>
      <c r="G242" s="142">
        <v>40000</v>
      </c>
      <c r="H242" s="142">
        <f t="shared" si="3"/>
        <v>107800</v>
      </c>
    </row>
    <row r="243" spans="1:8" ht="30.75" customHeight="1">
      <c r="A243" s="91">
        <v>10</v>
      </c>
      <c r="B243" s="310" t="s">
        <v>399</v>
      </c>
      <c r="C243" s="310"/>
      <c r="D243" s="310"/>
      <c r="E243" s="91">
        <v>1</v>
      </c>
      <c r="F243" s="121"/>
      <c r="G243" s="142">
        <f>15000+20000+15000</f>
        <v>50000</v>
      </c>
      <c r="H243" s="142">
        <f t="shared" si="3"/>
        <v>50000</v>
      </c>
    </row>
    <row r="244" spans="1:8" ht="18.75" customHeight="1">
      <c r="A244" s="91">
        <v>11</v>
      </c>
      <c r="B244" s="308" t="s">
        <v>246</v>
      </c>
      <c r="C244" s="308"/>
      <c r="D244" s="308"/>
      <c r="E244" s="91">
        <v>1</v>
      </c>
      <c r="F244" s="121"/>
      <c r="G244" s="142">
        <f>70000-20000-15000-35000</f>
        <v>0</v>
      </c>
      <c r="H244" s="142">
        <f t="shared" si="3"/>
        <v>0</v>
      </c>
    </row>
    <row r="245" spans="1:8" ht="18" customHeight="1">
      <c r="A245" s="105"/>
      <c r="B245" s="296" t="s">
        <v>118</v>
      </c>
      <c r="C245" s="296"/>
      <c r="D245" s="296"/>
      <c r="E245" s="105" t="s">
        <v>119</v>
      </c>
      <c r="F245" s="137">
        <f>SUM(F234:F242)</f>
        <v>3023592</v>
      </c>
      <c r="G245" s="137">
        <f>SUM(G234:G244)</f>
        <v>842500</v>
      </c>
      <c r="H245" s="137">
        <f>SUM(H234:H244)</f>
        <v>3866092</v>
      </c>
    </row>
    <row r="246" spans="1:6" ht="15.75">
      <c r="A246" s="151"/>
      <c r="B246" s="152"/>
      <c r="C246" s="152"/>
      <c r="D246" s="152"/>
      <c r="E246" s="152"/>
      <c r="F246" s="153"/>
    </row>
    <row r="247" spans="1:8" ht="18.75">
      <c r="A247" s="315" t="s">
        <v>247</v>
      </c>
      <c r="B247" s="315"/>
      <c r="C247" s="315"/>
      <c r="D247" s="315"/>
      <c r="E247" s="315"/>
      <c r="F247" s="315"/>
      <c r="G247" s="315"/>
      <c r="H247" s="315"/>
    </row>
    <row r="248" spans="1:6" ht="12" customHeight="1">
      <c r="A248" s="109"/>
      <c r="B248" s="128"/>
      <c r="C248" s="128"/>
      <c r="D248" s="128"/>
      <c r="E248" s="128"/>
      <c r="F248" s="128"/>
    </row>
    <row r="249" spans="1:8" s="79" customFormat="1" ht="18.75" customHeight="1">
      <c r="A249" s="307" t="s">
        <v>248</v>
      </c>
      <c r="B249" s="307"/>
      <c r="C249" s="307"/>
      <c r="D249" s="307"/>
      <c r="E249" s="307"/>
      <c r="F249" s="307"/>
      <c r="G249" s="307"/>
      <c r="H249" s="307"/>
    </row>
    <row r="250" spans="1:8" ht="24" customHeight="1">
      <c r="A250" s="301" t="s">
        <v>104</v>
      </c>
      <c r="B250" s="302" t="s">
        <v>161</v>
      </c>
      <c r="C250" s="302"/>
      <c r="D250" s="302"/>
      <c r="E250" s="301" t="s">
        <v>106</v>
      </c>
      <c r="F250" s="301"/>
      <c r="G250" s="301"/>
      <c r="H250" s="302" t="s">
        <v>107</v>
      </c>
    </row>
    <row r="251" spans="1:8" ht="48">
      <c r="A251" s="301"/>
      <c r="B251" s="302"/>
      <c r="C251" s="302"/>
      <c r="D251" s="302"/>
      <c r="E251" s="301" t="s">
        <v>108</v>
      </c>
      <c r="F251" s="301"/>
      <c r="G251" s="85" t="s">
        <v>12</v>
      </c>
      <c r="H251" s="302"/>
    </row>
    <row r="252" spans="1:8" ht="29.25" customHeight="1">
      <c r="A252" s="301"/>
      <c r="B252" s="302"/>
      <c r="C252" s="302"/>
      <c r="D252" s="302"/>
      <c r="E252" s="87" t="s">
        <v>178</v>
      </c>
      <c r="F252" s="87" t="s">
        <v>112</v>
      </c>
      <c r="G252" s="100" t="s">
        <v>112</v>
      </c>
      <c r="H252" s="302"/>
    </row>
    <row r="253" spans="1:8" ht="15.75">
      <c r="A253" s="91">
        <v>1</v>
      </c>
      <c r="B253" s="303">
        <v>2</v>
      </c>
      <c r="C253" s="303"/>
      <c r="D253" s="303"/>
      <c r="E253" s="91">
        <v>3</v>
      </c>
      <c r="F253" s="91">
        <v>4</v>
      </c>
      <c r="G253" s="91">
        <v>5</v>
      </c>
      <c r="H253" s="91" t="s">
        <v>179</v>
      </c>
    </row>
    <row r="254" spans="1:8" ht="30" customHeight="1">
      <c r="A254" s="91">
        <v>1</v>
      </c>
      <c r="B254" s="305" t="s">
        <v>249</v>
      </c>
      <c r="C254" s="305"/>
      <c r="D254" s="305"/>
      <c r="E254" s="91">
        <v>1</v>
      </c>
      <c r="F254" s="121">
        <v>17400</v>
      </c>
      <c r="G254" s="142">
        <f>8000+1679.56</f>
        <v>9679.56</v>
      </c>
      <c r="H254" s="142">
        <f>F254+G254</f>
        <v>27079.559999999998</v>
      </c>
    </row>
    <row r="255" spans="1:8" ht="18.75" customHeight="1">
      <c r="A255" s="91">
        <v>2</v>
      </c>
      <c r="B255" s="305" t="s">
        <v>250</v>
      </c>
      <c r="C255" s="305"/>
      <c r="D255" s="305"/>
      <c r="E255" s="91">
        <v>1</v>
      </c>
      <c r="F255" s="121"/>
      <c r="G255" s="142">
        <f>89000-1679.56</f>
        <v>87320.44</v>
      </c>
      <c r="H255" s="142">
        <f>F255+G255</f>
        <v>87320.44</v>
      </c>
    </row>
    <row r="256" spans="1:8" ht="18" customHeight="1">
      <c r="A256" s="105"/>
      <c r="B256" s="296" t="s">
        <v>118</v>
      </c>
      <c r="C256" s="296"/>
      <c r="D256" s="296"/>
      <c r="E256" s="105" t="s">
        <v>119</v>
      </c>
      <c r="F256" s="137">
        <f>SUM(F254)</f>
        <v>17400</v>
      </c>
      <c r="G256" s="137">
        <f>SUM(G254:G255)</f>
        <v>97000</v>
      </c>
      <c r="H256" s="137">
        <f>SUM(H254:H255)</f>
        <v>114400</v>
      </c>
    </row>
    <row r="257" spans="1:6" ht="15.75">
      <c r="A257" s="166"/>
      <c r="B257" s="167"/>
      <c r="C257" s="167"/>
      <c r="D257" s="167"/>
      <c r="E257" s="166"/>
      <c r="F257" s="168"/>
    </row>
    <row r="258" spans="1:8" ht="18.75">
      <c r="A258" s="315" t="s">
        <v>251</v>
      </c>
      <c r="B258" s="315"/>
      <c r="C258" s="315"/>
      <c r="D258" s="315"/>
      <c r="E258" s="315"/>
      <c r="F258" s="315"/>
      <c r="G258" s="315"/>
      <c r="H258" s="315"/>
    </row>
    <row r="259" spans="1:8" ht="14.25" customHeight="1">
      <c r="A259" s="317"/>
      <c r="B259" s="317"/>
      <c r="C259" s="317"/>
      <c r="D259" s="317"/>
      <c r="E259" s="317"/>
      <c r="F259" s="317"/>
      <c r="G259" s="317"/>
      <c r="H259" s="317"/>
    </row>
    <row r="260" spans="1:8" s="79" customFormat="1" ht="18.75" customHeight="1">
      <c r="A260" s="307" t="s">
        <v>252</v>
      </c>
      <c r="B260" s="307"/>
      <c r="C260" s="307"/>
      <c r="D260" s="307"/>
      <c r="E260" s="307"/>
      <c r="F260" s="307"/>
      <c r="G260" s="307"/>
      <c r="H260" s="307"/>
    </row>
    <row r="261" spans="1:8" ht="25.5" customHeight="1">
      <c r="A261" s="301" t="s">
        <v>104</v>
      </c>
      <c r="B261" s="302" t="s">
        <v>161</v>
      </c>
      <c r="C261" s="302"/>
      <c r="D261" s="301" t="s">
        <v>106</v>
      </c>
      <c r="E261" s="301"/>
      <c r="F261" s="301"/>
      <c r="G261" s="301"/>
      <c r="H261" s="302" t="s">
        <v>107</v>
      </c>
    </row>
    <row r="262" spans="1:8" ht="48">
      <c r="A262" s="301"/>
      <c r="B262" s="302"/>
      <c r="C262" s="302"/>
      <c r="D262" s="301" t="s">
        <v>108</v>
      </c>
      <c r="E262" s="301"/>
      <c r="F262" s="301"/>
      <c r="G262" s="85" t="s">
        <v>12</v>
      </c>
      <c r="H262" s="302"/>
    </row>
    <row r="263" spans="1:8" s="84" customFormat="1" ht="33.75" customHeight="1">
      <c r="A263" s="301"/>
      <c r="B263" s="302"/>
      <c r="C263" s="302"/>
      <c r="D263" s="87" t="s">
        <v>253</v>
      </c>
      <c r="E263" s="86" t="s">
        <v>254</v>
      </c>
      <c r="F263" s="87" t="s">
        <v>112</v>
      </c>
      <c r="G263" s="100" t="s">
        <v>112</v>
      </c>
      <c r="H263" s="302"/>
    </row>
    <row r="264" spans="1:8" ht="15.75">
      <c r="A264" s="91">
        <v>1</v>
      </c>
      <c r="B264" s="303">
        <v>2</v>
      </c>
      <c r="C264" s="303"/>
      <c r="D264" s="91">
        <v>3</v>
      </c>
      <c r="E264" s="91">
        <v>4</v>
      </c>
      <c r="F264" s="91" t="s">
        <v>124</v>
      </c>
      <c r="G264" s="91">
        <v>6</v>
      </c>
      <c r="H264" s="91" t="s">
        <v>125</v>
      </c>
    </row>
    <row r="265" spans="1:8" ht="18.75" customHeight="1">
      <c r="A265" s="91">
        <v>3</v>
      </c>
      <c r="B265" s="316" t="s">
        <v>255</v>
      </c>
      <c r="C265" s="316"/>
      <c r="D265" s="147"/>
      <c r="E265" s="121"/>
      <c r="F265" s="121"/>
      <c r="G265" s="142">
        <f>100000-50000</f>
        <v>50000</v>
      </c>
      <c r="H265" s="121">
        <f>F265+G265</f>
        <v>50000</v>
      </c>
    </row>
    <row r="266" spans="1:8" ht="15.75" customHeight="1">
      <c r="A266" s="91">
        <v>6</v>
      </c>
      <c r="B266" s="316" t="s">
        <v>256</v>
      </c>
      <c r="C266" s="316"/>
      <c r="D266" s="121"/>
      <c r="E266" s="121"/>
      <c r="F266" s="121"/>
      <c r="G266" s="142">
        <f>125000+168000-95200</f>
        <v>197800</v>
      </c>
      <c r="H266" s="121">
        <f>F266+G266</f>
        <v>197800</v>
      </c>
    </row>
    <row r="267" spans="1:8" ht="15" customHeight="1">
      <c r="A267" s="91">
        <v>7</v>
      </c>
      <c r="B267" s="316" t="s">
        <v>257</v>
      </c>
      <c r="C267" s="316"/>
      <c r="D267" s="121"/>
      <c r="E267" s="121"/>
      <c r="F267" s="121"/>
      <c r="G267" s="142">
        <f>100000-50000</f>
        <v>50000</v>
      </c>
      <c r="H267" s="121">
        <f>F267+G267</f>
        <v>50000</v>
      </c>
    </row>
    <row r="268" spans="1:8" ht="16.5" customHeight="1">
      <c r="A268" s="91">
        <v>8</v>
      </c>
      <c r="B268" s="316" t="s">
        <v>258</v>
      </c>
      <c r="C268" s="316"/>
      <c r="D268" s="121"/>
      <c r="E268" s="121"/>
      <c r="F268" s="121"/>
      <c r="G268" s="142">
        <f>675000-68000+95200+500000+200000</f>
        <v>1402200</v>
      </c>
      <c r="H268" s="121">
        <f>F268+G268</f>
        <v>1402200</v>
      </c>
    </row>
    <row r="269" spans="1:8" ht="15.75" customHeight="1">
      <c r="A269" s="105"/>
      <c r="B269" s="296" t="s">
        <v>118</v>
      </c>
      <c r="C269" s="296"/>
      <c r="D269" s="296"/>
      <c r="E269" s="105" t="s">
        <v>119</v>
      </c>
      <c r="F269" s="137">
        <f>SUM(F265:F268)</f>
        <v>0</v>
      </c>
      <c r="G269" s="137">
        <f>SUM(G265:G268)</f>
        <v>1700000</v>
      </c>
      <c r="H269" s="137">
        <f>SUM(H265:H268)</f>
        <v>1700000</v>
      </c>
    </row>
    <row r="270" spans="1:6" ht="141.75" customHeight="1">
      <c r="A270" s="166"/>
      <c r="B270" s="169"/>
      <c r="C270" s="169"/>
      <c r="D270" s="168"/>
      <c r="E270" s="168"/>
      <c r="F270" s="168"/>
    </row>
    <row r="271" spans="1:8" ht="18.75">
      <c r="A271" s="315" t="s">
        <v>259</v>
      </c>
      <c r="B271" s="315"/>
      <c r="C271" s="315"/>
      <c r="D271" s="315"/>
      <c r="E271" s="315"/>
      <c r="F271" s="315"/>
      <c r="G271" s="315"/>
      <c r="H271" s="315"/>
    </row>
    <row r="272" spans="1:8" s="79" customFormat="1" ht="18.75" customHeight="1">
      <c r="A272" s="300" t="s">
        <v>260</v>
      </c>
      <c r="B272" s="300"/>
      <c r="C272" s="300"/>
      <c r="D272" s="300"/>
      <c r="E272" s="300"/>
      <c r="F272" s="300"/>
      <c r="G272" s="300"/>
      <c r="H272" s="300"/>
    </row>
    <row r="273" spans="1:8" ht="20.25" customHeight="1">
      <c r="A273" s="301" t="s">
        <v>104</v>
      </c>
      <c r="B273" s="302" t="s">
        <v>161</v>
      </c>
      <c r="C273" s="302"/>
      <c r="D273" s="301" t="s">
        <v>106</v>
      </c>
      <c r="E273" s="301"/>
      <c r="F273" s="301"/>
      <c r="G273" s="301"/>
      <c r="H273" s="302" t="s">
        <v>107</v>
      </c>
    </row>
    <row r="274" spans="1:8" ht="52.5" customHeight="1">
      <c r="A274" s="301"/>
      <c r="B274" s="302"/>
      <c r="C274" s="302"/>
      <c r="D274" s="301" t="s">
        <v>108</v>
      </c>
      <c r="E274" s="301"/>
      <c r="F274" s="301"/>
      <c r="G274" s="85" t="s">
        <v>12</v>
      </c>
      <c r="H274" s="302"/>
    </row>
    <row r="275" spans="1:8" s="84" customFormat="1" ht="30.75" customHeight="1">
      <c r="A275" s="301"/>
      <c r="B275" s="302"/>
      <c r="C275" s="302"/>
      <c r="D275" s="87" t="s">
        <v>253</v>
      </c>
      <c r="E275" s="86" t="s">
        <v>254</v>
      </c>
      <c r="F275" s="87" t="s">
        <v>112</v>
      </c>
      <c r="G275" s="100" t="s">
        <v>112</v>
      </c>
      <c r="H275" s="302"/>
    </row>
    <row r="276" spans="1:8" ht="15.75">
      <c r="A276" s="91">
        <v>1</v>
      </c>
      <c r="B276" s="303">
        <v>2</v>
      </c>
      <c r="C276" s="303"/>
      <c r="D276" s="91">
        <v>3</v>
      </c>
      <c r="E276" s="91">
        <v>4</v>
      </c>
      <c r="F276" s="91" t="s">
        <v>124</v>
      </c>
      <c r="G276" s="91">
        <v>6</v>
      </c>
      <c r="H276" s="91" t="s">
        <v>125</v>
      </c>
    </row>
    <row r="277" spans="1:8" ht="28.5" customHeight="1">
      <c r="A277" s="170" t="s">
        <v>261</v>
      </c>
      <c r="B277" s="304" t="s">
        <v>62</v>
      </c>
      <c r="C277" s="304"/>
      <c r="D277" s="304"/>
      <c r="E277" s="304"/>
      <c r="F277" s="105" t="s">
        <v>119</v>
      </c>
      <c r="G277" s="143" t="s">
        <v>16</v>
      </c>
      <c r="H277" s="143" t="s">
        <v>16</v>
      </c>
    </row>
    <row r="278" spans="1:8" ht="18.75" customHeight="1">
      <c r="A278" s="91">
        <v>1</v>
      </c>
      <c r="B278" s="305" t="s">
        <v>262</v>
      </c>
      <c r="C278" s="305"/>
      <c r="D278" s="121">
        <v>1500</v>
      </c>
      <c r="E278" s="121">
        <f>F278/D278</f>
        <v>1028.6</v>
      </c>
      <c r="F278" s="121">
        <v>1542900</v>
      </c>
      <c r="G278" s="142">
        <v>1325000</v>
      </c>
      <c r="H278" s="142">
        <f>F278+G278</f>
        <v>2867900</v>
      </c>
    </row>
    <row r="279" spans="1:8" ht="50.25" customHeight="1">
      <c r="A279" s="91">
        <v>2</v>
      </c>
      <c r="B279" s="308" t="s">
        <v>263</v>
      </c>
      <c r="C279" s="308"/>
      <c r="D279" s="121"/>
      <c r="E279" s="121"/>
      <c r="F279" s="121">
        <f>D279*E279</f>
        <v>0</v>
      </c>
      <c r="G279" s="142"/>
      <c r="H279" s="142">
        <f>F279+G279</f>
        <v>0</v>
      </c>
    </row>
    <row r="280" spans="1:8" ht="16.5" customHeight="1">
      <c r="A280" s="91">
        <v>3</v>
      </c>
      <c r="B280" s="308" t="s">
        <v>264</v>
      </c>
      <c r="C280" s="308"/>
      <c r="D280" s="121"/>
      <c r="E280" s="121"/>
      <c r="F280" s="121">
        <f>D280*E280</f>
        <v>0</v>
      </c>
      <c r="G280" s="142">
        <f>100000-100000</f>
        <v>0</v>
      </c>
      <c r="H280" s="142">
        <f>F280+G280</f>
        <v>0</v>
      </c>
    </row>
    <row r="281" spans="1:8" ht="18" customHeight="1">
      <c r="A281" s="105"/>
      <c r="B281" s="296" t="s">
        <v>118</v>
      </c>
      <c r="C281" s="296"/>
      <c r="D281" s="296"/>
      <c r="E281" s="105" t="s">
        <v>119</v>
      </c>
      <c r="F281" s="137">
        <f>SUM(F278:F280)</f>
        <v>1542900</v>
      </c>
      <c r="G281" s="137">
        <f>SUM(G278:G280)</f>
        <v>1325000</v>
      </c>
      <c r="H281" s="137">
        <f>SUM(H278:H280)</f>
        <v>2867900</v>
      </c>
    </row>
    <row r="282" spans="1:6" ht="12" customHeight="1">
      <c r="A282" s="166"/>
      <c r="B282" s="169"/>
      <c r="C282" s="169"/>
      <c r="D282" s="168"/>
      <c r="E282" s="168"/>
      <c r="F282" s="168"/>
    </row>
    <row r="283" spans="1:8" s="79" customFormat="1" ht="17.25" customHeight="1">
      <c r="A283" s="307" t="s">
        <v>265</v>
      </c>
      <c r="B283" s="307"/>
      <c r="C283" s="307"/>
      <c r="D283" s="307"/>
      <c r="E283" s="307"/>
      <c r="F283" s="307"/>
      <c r="G283" s="307"/>
      <c r="H283" s="307"/>
    </row>
    <row r="284" spans="1:8" ht="12.75" customHeight="1">
      <c r="A284" s="301" t="s">
        <v>104</v>
      </c>
      <c r="B284" s="302" t="s">
        <v>161</v>
      </c>
      <c r="C284" s="302"/>
      <c r="D284" s="301" t="s">
        <v>106</v>
      </c>
      <c r="E284" s="301"/>
      <c r="F284" s="301"/>
      <c r="G284" s="301"/>
      <c r="H284" s="302" t="s">
        <v>107</v>
      </c>
    </row>
    <row r="285" spans="1:8" ht="48">
      <c r="A285" s="301"/>
      <c r="B285" s="302"/>
      <c r="C285" s="302"/>
      <c r="D285" s="301" t="s">
        <v>108</v>
      </c>
      <c r="E285" s="301"/>
      <c r="F285" s="301"/>
      <c r="G285" s="85" t="s">
        <v>12</v>
      </c>
      <c r="H285" s="302"/>
    </row>
    <row r="286" spans="1:8" s="84" customFormat="1" ht="27.75" customHeight="1">
      <c r="A286" s="301"/>
      <c r="B286" s="302"/>
      <c r="C286" s="302"/>
      <c r="D286" s="87" t="s">
        <v>253</v>
      </c>
      <c r="E286" s="86" t="s">
        <v>254</v>
      </c>
      <c r="F286" s="87" t="s">
        <v>112</v>
      </c>
      <c r="G286" s="100" t="s">
        <v>112</v>
      </c>
      <c r="H286" s="302"/>
    </row>
    <row r="287" spans="1:8" ht="15.75">
      <c r="A287" s="91">
        <v>1</v>
      </c>
      <c r="B287" s="303">
        <v>2</v>
      </c>
      <c r="C287" s="303"/>
      <c r="D287" s="91">
        <v>3</v>
      </c>
      <c r="E287" s="91">
        <v>4</v>
      </c>
      <c r="F287" s="91" t="s">
        <v>124</v>
      </c>
      <c r="G287" s="91">
        <v>6</v>
      </c>
      <c r="H287" s="91" t="s">
        <v>125</v>
      </c>
    </row>
    <row r="288" spans="1:8" ht="12" customHeight="1">
      <c r="A288" s="170" t="s">
        <v>266</v>
      </c>
      <c r="B288" s="304" t="s">
        <v>63</v>
      </c>
      <c r="C288" s="304"/>
      <c r="D288" s="304"/>
      <c r="E288" s="304"/>
      <c r="F288" s="105" t="s">
        <v>119</v>
      </c>
      <c r="G288" s="143" t="s">
        <v>16</v>
      </c>
      <c r="H288" s="143" t="s">
        <v>16</v>
      </c>
    </row>
    <row r="289" spans="1:8" ht="31.5" customHeight="1">
      <c r="A289" s="171">
        <v>1</v>
      </c>
      <c r="B289" s="313" t="s">
        <v>267</v>
      </c>
      <c r="C289" s="313"/>
      <c r="D289" s="164" t="s">
        <v>34</v>
      </c>
      <c r="E289" s="164" t="s">
        <v>379</v>
      </c>
      <c r="F289" s="164">
        <f>21042600-235100-4000000</f>
        <v>16807500</v>
      </c>
      <c r="G289" s="165">
        <f>10641200-1641200+2755000+2106060+1000000-60+1000-2000000-2300000</f>
        <v>10562000</v>
      </c>
      <c r="H289" s="165">
        <f>F289+G289</f>
        <v>27369500</v>
      </c>
    </row>
    <row r="290" spans="1:8" ht="18" customHeight="1">
      <c r="A290" s="105"/>
      <c r="B290" s="296" t="s">
        <v>118</v>
      </c>
      <c r="C290" s="296"/>
      <c r="D290" s="296"/>
      <c r="E290" s="105" t="s">
        <v>119</v>
      </c>
      <c r="F290" s="137">
        <f>SUM(F289)</f>
        <v>16807500</v>
      </c>
      <c r="G290" s="137">
        <f>SUM(G289)</f>
        <v>10562000</v>
      </c>
      <c r="H290" s="137">
        <f>SUM(H289)</f>
        <v>27369500</v>
      </c>
    </row>
    <row r="291" spans="1:8" ht="14.25" customHeight="1">
      <c r="A291" s="314" t="s">
        <v>400</v>
      </c>
      <c r="B291" s="314"/>
      <c r="C291" s="314"/>
      <c r="D291" s="314"/>
      <c r="E291" s="314"/>
      <c r="F291" s="314"/>
      <c r="G291" s="314"/>
      <c r="H291" s="314"/>
    </row>
    <row r="292" spans="1:6" ht="10.5" customHeight="1">
      <c r="A292" s="166"/>
      <c r="B292" s="113"/>
      <c r="C292" s="113"/>
      <c r="D292" s="168"/>
      <c r="E292" s="139"/>
      <c r="F292" s="139"/>
    </row>
    <row r="293" spans="1:8" s="79" customFormat="1" ht="18" customHeight="1">
      <c r="A293" s="307" t="s">
        <v>268</v>
      </c>
      <c r="B293" s="307"/>
      <c r="C293" s="307"/>
      <c r="D293" s="307"/>
      <c r="E293" s="307"/>
      <c r="F293" s="307"/>
      <c r="G293" s="307"/>
      <c r="H293" s="307"/>
    </row>
    <row r="294" spans="1:8" ht="14.25" customHeight="1">
      <c r="A294" s="301" t="s">
        <v>104</v>
      </c>
      <c r="B294" s="302" t="s">
        <v>161</v>
      </c>
      <c r="C294" s="302"/>
      <c r="D294" s="301" t="s">
        <v>106</v>
      </c>
      <c r="E294" s="301"/>
      <c r="F294" s="301"/>
      <c r="G294" s="301"/>
      <c r="H294" s="302" t="s">
        <v>107</v>
      </c>
    </row>
    <row r="295" spans="1:8" ht="48">
      <c r="A295" s="301"/>
      <c r="B295" s="302"/>
      <c r="C295" s="302"/>
      <c r="D295" s="301" t="s">
        <v>108</v>
      </c>
      <c r="E295" s="301"/>
      <c r="F295" s="301"/>
      <c r="G295" s="85" t="s">
        <v>12</v>
      </c>
      <c r="H295" s="302"/>
    </row>
    <row r="296" spans="1:8" s="84" customFormat="1" ht="29.25" customHeight="1">
      <c r="A296" s="301"/>
      <c r="B296" s="302"/>
      <c r="C296" s="302"/>
      <c r="D296" s="87" t="s">
        <v>253</v>
      </c>
      <c r="E296" s="86" t="s">
        <v>254</v>
      </c>
      <c r="F296" s="87" t="s">
        <v>112</v>
      </c>
      <c r="G296" s="100" t="s">
        <v>112</v>
      </c>
      <c r="H296" s="302"/>
    </row>
    <row r="297" spans="1:8" ht="15.75">
      <c r="A297" s="91">
        <v>1</v>
      </c>
      <c r="B297" s="303">
        <v>2</v>
      </c>
      <c r="C297" s="303"/>
      <c r="D297" s="91">
        <v>3</v>
      </c>
      <c r="E297" s="91">
        <v>4</v>
      </c>
      <c r="F297" s="91" t="s">
        <v>124</v>
      </c>
      <c r="G297" s="91">
        <v>6</v>
      </c>
      <c r="H297" s="91" t="s">
        <v>125</v>
      </c>
    </row>
    <row r="298" spans="1:8" ht="14.25" customHeight="1">
      <c r="A298" s="170" t="s">
        <v>269</v>
      </c>
      <c r="B298" s="304" t="s">
        <v>64</v>
      </c>
      <c r="C298" s="304"/>
      <c r="D298" s="304"/>
      <c r="E298" s="304"/>
      <c r="F298" s="105" t="s">
        <v>119</v>
      </c>
      <c r="G298" s="143" t="s">
        <v>16</v>
      </c>
      <c r="H298" s="143" t="s">
        <v>16</v>
      </c>
    </row>
    <row r="299" spans="1:8" ht="19.5" customHeight="1">
      <c r="A299" s="91">
        <v>1</v>
      </c>
      <c r="B299" s="305" t="s">
        <v>270</v>
      </c>
      <c r="C299" s="305"/>
      <c r="D299" s="121"/>
      <c r="E299" s="121"/>
      <c r="F299" s="121"/>
      <c r="G299" s="142">
        <f>105000+150000-155000+1000+300000-1000</f>
        <v>400000</v>
      </c>
      <c r="H299" s="142">
        <f>F299+G299</f>
        <v>400000</v>
      </c>
    </row>
    <row r="300" spans="1:8" ht="18" customHeight="1">
      <c r="A300" s="105"/>
      <c r="B300" s="296" t="s">
        <v>118</v>
      </c>
      <c r="C300" s="296"/>
      <c r="D300" s="296"/>
      <c r="E300" s="105" t="s">
        <v>119</v>
      </c>
      <c r="F300" s="137">
        <f>SUM(F299)</f>
        <v>0</v>
      </c>
      <c r="G300" s="137">
        <f>SUM(G299)</f>
        <v>400000</v>
      </c>
      <c r="H300" s="137">
        <f>SUM(H299)</f>
        <v>400000</v>
      </c>
    </row>
    <row r="301" spans="1:8" ht="15.75" customHeight="1">
      <c r="A301" s="113"/>
      <c r="B301" s="138"/>
      <c r="C301" s="138"/>
      <c r="D301" s="138"/>
      <c r="E301" s="113"/>
      <c r="F301" s="139"/>
      <c r="G301" s="139"/>
      <c r="H301" s="139"/>
    </row>
    <row r="302" spans="1:8" s="79" customFormat="1" ht="18.75" customHeight="1">
      <c r="A302" s="307" t="s">
        <v>271</v>
      </c>
      <c r="B302" s="307"/>
      <c r="C302" s="307"/>
      <c r="D302" s="307"/>
      <c r="E302" s="307"/>
      <c r="F302" s="307"/>
      <c r="G302" s="307"/>
      <c r="H302" s="307"/>
    </row>
    <row r="303" spans="1:8" ht="16.5" customHeight="1">
      <c r="A303" s="301" t="s">
        <v>104</v>
      </c>
      <c r="B303" s="302" t="s">
        <v>161</v>
      </c>
      <c r="C303" s="302"/>
      <c r="D303" s="301" t="s">
        <v>106</v>
      </c>
      <c r="E303" s="301"/>
      <c r="F303" s="301"/>
      <c r="G303" s="301"/>
      <c r="H303" s="302" t="s">
        <v>107</v>
      </c>
    </row>
    <row r="304" spans="1:8" ht="48">
      <c r="A304" s="301"/>
      <c r="B304" s="302"/>
      <c r="C304" s="302"/>
      <c r="D304" s="301" t="s">
        <v>108</v>
      </c>
      <c r="E304" s="301"/>
      <c r="F304" s="301"/>
      <c r="G304" s="85" t="s">
        <v>12</v>
      </c>
      <c r="H304" s="302"/>
    </row>
    <row r="305" spans="1:8" s="84" customFormat="1" ht="27" customHeight="1">
      <c r="A305" s="301"/>
      <c r="B305" s="302"/>
      <c r="C305" s="302"/>
      <c r="D305" s="87" t="s">
        <v>253</v>
      </c>
      <c r="E305" s="86" t="s">
        <v>254</v>
      </c>
      <c r="F305" s="87" t="s">
        <v>112</v>
      </c>
      <c r="G305" s="100" t="s">
        <v>112</v>
      </c>
      <c r="H305" s="302"/>
    </row>
    <row r="306" spans="1:8" ht="15.75">
      <c r="A306" s="91">
        <v>1</v>
      </c>
      <c r="B306" s="303">
        <v>2</v>
      </c>
      <c r="C306" s="303"/>
      <c r="D306" s="91">
        <v>3</v>
      </c>
      <c r="E306" s="91">
        <v>4</v>
      </c>
      <c r="F306" s="91" t="s">
        <v>124</v>
      </c>
      <c r="G306" s="91">
        <v>6</v>
      </c>
      <c r="H306" s="91" t="s">
        <v>125</v>
      </c>
    </row>
    <row r="307" spans="1:8" ht="14.25" customHeight="1">
      <c r="A307" s="170" t="s">
        <v>272</v>
      </c>
      <c r="B307" s="304" t="s">
        <v>65</v>
      </c>
      <c r="C307" s="304"/>
      <c r="D307" s="304"/>
      <c r="E307" s="304"/>
      <c r="F307" s="105" t="s">
        <v>119</v>
      </c>
      <c r="G307" s="143" t="s">
        <v>16</v>
      </c>
      <c r="H307" s="143" t="s">
        <v>16</v>
      </c>
    </row>
    <row r="308" spans="1:8" ht="30" customHeight="1">
      <c r="A308" s="91">
        <v>1</v>
      </c>
      <c r="B308" s="305" t="s">
        <v>273</v>
      </c>
      <c r="C308" s="305"/>
      <c r="D308" s="121"/>
      <c r="E308" s="121"/>
      <c r="F308" s="121">
        <v>0</v>
      </c>
      <c r="G308" s="142">
        <v>575000</v>
      </c>
      <c r="H308" s="142">
        <f>F308+G308</f>
        <v>575000</v>
      </c>
    </row>
    <row r="309" spans="1:8" ht="18" customHeight="1">
      <c r="A309" s="105"/>
      <c r="B309" s="296" t="s">
        <v>118</v>
      </c>
      <c r="C309" s="296"/>
      <c r="D309" s="296"/>
      <c r="E309" s="105" t="s">
        <v>119</v>
      </c>
      <c r="F309" s="137">
        <f>SUM(F308)</f>
        <v>0</v>
      </c>
      <c r="G309" s="137">
        <f>SUM(G308)</f>
        <v>575000</v>
      </c>
      <c r="H309" s="137">
        <f>SUM(H308)</f>
        <v>575000</v>
      </c>
    </row>
    <row r="310" spans="1:6" ht="13.5" customHeight="1">
      <c r="A310" s="166"/>
      <c r="B310" s="113"/>
      <c r="C310" s="113"/>
      <c r="D310" s="168"/>
      <c r="E310" s="139"/>
      <c r="F310" s="139"/>
    </row>
    <row r="311" spans="1:8" s="79" customFormat="1" ht="18.75" customHeight="1">
      <c r="A311" s="307" t="s">
        <v>274</v>
      </c>
      <c r="B311" s="307"/>
      <c r="C311" s="307"/>
      <c r="D311" s="307"/>
      <c r="E311" s="307"/>
      <c r="F311" s="307"/>
      <c r="G311" s="307"/>
      <c r="H311" s="307"/>
    </row>
    <row r="312" spans="1:8" ht="15.75" customHeight="1">
      <c r="A312" s="301" t="s">
        <v>104</v>
      </c>
      <c r="B312" s="302" t="s">
        <v>161</v>
      </c>
      <c r="C312" s="302"/>
      <c r="D312" s="301" t="s">
        <v>106</v>
      </c>
      <c r="E312" s="301"/>
      <c r="F312" s="301"/>
      <c r="G312" s="301"/>
      <c r="H312" s="302" t="s">
        <v>107</v>
      </c>
    </row>
    <row r="313" spans="1:8" ht="50.25" customHeight="1">
      <c r="A313" s="301"/>
      <c r="B313" s="302"/>
      <c r="C313" s="302"/>
      <c r="D313" s="301" t="s">
        <v>108</v>
      </c>
      <c r="E313" s="301"/>
      <c r="F313" s="301"/>
      <c r="G313" s="132" t="s">
        <v>12</v>
      </c>
      <c r="H313" s="302"/>
    </row>
    <row r="314" spans="1:8" s="84" customFormat="1" ht="28.5" customHeight="1">
      <c r="A314" s="301"/>
      <c r="B314" s="302"/>
      <c r="C314" s="302"/>
      <c r="D314" s="87" t="s">
        <v>253</v>
      </c>
      <c r="E314" s="86" t="s">
        <v>254</v>
      </c>
      <c r="F314" s="87" t="s">
        <v>112</v>
      </c>
      <c r="G314" s="100" t="s">
        <v>112</v>
      </c>
      <c r="H314" s="302"/>
    </row>
    <row r="315" spans="1:8" ht="15.75">
      <c r="A315" s="91">
        <v>1</v>
      </c>
      <c r="B315" s="303">
        <v>2</v>
      </c>
      <c r="C315" s="303"/>
      <c r="D315" s="91">
        <v>3</v>
      </c>
      <c r="E315" s="91">
        <v>4</v>
      </c>
      <c r="F315" s="91" t="s">
        <v>124</v>
      </c>
      <c r="G315" s="91">
        <v>6</v>
      </c>
      <c r="H315" s="91" t="s">
        <v>125</v>
      </c>
    </row>
    <row r="316" spans="1:8" s="173" customFormat="1" ht="15.75" customHeight="1">
      <c r="A316" s="172" t="s">
        <v>275</v>
      </c>
      <c r="B316" s="304" t="s">
        <v>66</v>
      </c>
      <c r="C316" s="304"/>
      <c r="D316" s="304"/>
      <c r="E316" s="304"/>
      <c r="F316" s="105" t="s">
        <v>119</v>
      </c>
      <c r="G316" s="143" t="s">
        <v>16</v>
      </c>
      <c r="H316" s="143" t="s">
        <v>16</v>
      </c>
    </row>
    <row r="317" spans="1:8" ht="24.75" customHeight="1">
      <c r="A317" s="91">
        <v>1</v>
      </c>
      <c r="B317" s="308" t="s">
        <v>276</v>
      </c>
      <c r="C317" s="308"/>
      <c r="D317" s="121">
        <v>69350</v>
      </c>
      <c r="E317" s="121">
        <f>F317/D317</f>
        <v>41.76496034607066</v>
      </c>
      <c r="F317" s="121">
        <f>1896400+1000000</f>
        <v>2896400</v>
      </c>
      <c r="G317" s="142">
        <f>450000+37000+135400</f>
        <v>622400</v>
      </c>
      <c r="H317" s="142">
        <f>F317+G317</f>
        <v>3518800</v>
      </c>
    </row>
    <row r="318" spans="1:8" ht="31.5" customHeight="1">
      <c r="A318" s="91">
        <v>2</v>
      </c>
      <c r="B318" s="312" t="s">
        <v>277</v>
      </c>
      <c r="C318" s="312"/>
      <c r="D318" s="121"/>
      <c r="E318" s="121"/>
      <c r="F318" s="121"/>
      <c r="G318" s="174">
        <f>142400-37000-105400</f>
        <v>0</v>
      </c>
      <c r="H318" s="142">
        <f>F318+G318</f>
        <v>0</v>
      </c>
    </row>
    <row r="319" spans="1:8" ht="42.75" customHeight="1">
      <c r="A319" s="91">
        <v>3</v>
      </c>
      <c r="B319" s="312" t="s">
        <v>278</v>
      </c>
      <c r="C319" s="312"/>
      <c r="D319" s="121">
        <v>2</v>
      </c>
      <c r="E319" s="121">
        <f>F319/D319</f>
        <v>27500</v>
      </c>
      <c r="F319" s="121">
        <v>55000</v>
      </c>
      <c r="G319" s="174">
        <v>2300</v>
      </c>
      <c r="H319" s="142">
        <f>F319+G319</f>
        <v>57300</v>
      </c>
    </row>
    <row r="320" spans="1:8" ht="30.75" customHeight="1">
      <c r="A320" s="91">
        <v>4</v>
      </c>
      <c r="B320" s="312" t="s">
        <v>279</v>
      </c>
      <c r="C320" s="312"/>
      <c r="D320" s="121">
        <v>350</v>
      </c>
      <c r="E320" s="121">
        <f>F320/D320</f>
        <v>0</v>
      </c>
      <c r="F320" s="121">
        <f>686400-686400</f>
        <v>0</v>
      </c>
      <c r="G320" s="174"/>
      <c r="H320" s="142">
        <f>F320+G320</f>
        <v>0</v>
      </c>
    </row>
    <row r="321" spans="1:8" ht="15.75" customHeight="1">
      <c r="A321" s="91">
        <v>5</v>
      </c>
      <c r="B321" s="311" t="s">
        <v>280</v>
      </c>
      <c r="C321" s="311"/>
      <c r="D321" s="121"/>
      <c r="E321" s="121"/>
      <c r="F321" s="121">
        <v>0</v>
      </c>
      <c r="G321" s="174">
        <f>400000-30000</f>
        <v>370000</v>
      </c>
      <c r="H321" s="142">
        <f>F321+G321</f>
        <v>370000</v>
      </c>
    </row>
    <row r="322" spans="1:8" ht="18" customHeight="1">
      <c r="A322" s="105"/>
      <c r="B322" s="296" t="s">
        <v>118</v>
      </c>
      <c r="C322" s="296"/>
      <c r="D322" s="296"/>
      <c r="E322" s="105" t="s">
        <v>119</v>
      </c>
      <c r="F322" s="137">
        <f>SUM(F317:F321)</f>
        <v>2951400</v>
      </c>
      <c r="G322" s="137">
        <f>SUM(G317:G321)</f>
        <v>994700</v>
      </c>
      <c r="H322" s="137">
        <f>SUM(H317:H321)</f>
        <v>3946100</v>
      </c>
    </row>
    <row r="323" spans="1:6" ht="22.5" customHeight="1">
      <c r="A323" s="166"/>
      <c r="B323" s="113"/>
      <c r="C323" s="113"/>
      <c r="D323" s="168"/>
      <c r="E323" s="139"/>
      <c r="F323" s="139"/>
    </row>
    <row r="324" spans="1:8" s="79" customFormat="1" ht="16.5" customHeight="1">
      <c r="A324" s="307" t="s">
        <v>281</v>
      </c>
      <c r="B324" s="307"/>
      <c r="C324" s="307"/>
      <c r="D324" s="307"/>
      <c r="E324" s="307"/>
      <c r="F324" s="307"/>
      <c r="G324" s="307"/>
      <c r="H324" s="307"/>
    </row>
    <row r="325" spans="1:8" ht="15" customHeight="1">
      <c r="A325" s="301" t="s">
        <v>104</v>
      </c>
      <c r="B325" s="302" t="s">
        <v>161</v>
      </c>
      <c r="C325" s="302"/>
      <c r="D325" s="301" t="s">
        <v>106</v>
      </c>
      <c r="E325" s="301"/>
      <c r="F325" s="301"/>
      <c r="G325" s="301"/>
      <c r="H325" s="302" t="s">
        <v>107</v>
      </c>
    </row>
    <row r="326" spans="1:8" ht="48">
      <c r="A326" s="301"/>
      <c r="B326" s="302"/>
      <c r="C326" s="302"/>
      <c r="D326" s="301" t="s">
        <v>108</v>
      </c>
      <c r="E326" s="301"/>
      <c r="F326" s="301"/>
      <c r="G326" s="85" t="s">
        <v>12</v>
      </c>
      <c r="H326" s="302"/>
    </row>
    <row r="327" spans="1:8" s="84" customFormat="1" ht="28.5" customHeight="1">
      <c r="A327" s="301"/>
      <c r="B327" s="302"/>
      <c r="C327" s="302"/>
      <c r="D327" s="87" t="s">
        <v>253</v>
      </c>
      <c r="E327" s="86" t="s">
        <v>254</v>
      </c>
      <c r="F327" s="87" t="s">
        <v>112</v>
      </c>
      <c r="G327" s="100" t="s">
        <v>112</v>
      </c>
      <c r="H327" s="302"/>
    </row>
    <row r="328" spans="1:8" ht="15.75">
      <c r="A328" s="91">
        <v>1</v>
      </c>
      <c r="B328" s="303">
        <v>2</v>
      </c>
      <c r="C328" s="303"/>
      <c r="D328" s="91">
        <v>3</v>
      </c>
      <c r="E328" s="91">
        <v>4</v>
      </c>
      <c r="F328" s="91" t="s">
        <v>124</v>
      </c>
      <c r="G328" s="91">
        <v>6</v>
      </c>
      <c r="H328" s="91" t="s">
        <v>125</v>
      </c>
    </row>
    <row r="329" spans="1:8" s="173" customFormat="1" ht="21.75" customHeight="1">
      <c r="A329" s="170" t="s">
        <v>282</v>
      </c>
      <c r="B329" s="304" t="s">
        <v>67</v>
      </c>
      <c r="C329" s="304"/>
      <c r="D329" s="304"/>
      <c r="E329" s="304"/>
      <c r="F329" s="105" t="s">
        <v>119</v>
      </c>
      <c r="G329" s="105" t="s">
        <v>119</v>
      </c>
      <c r="H329" s="105" t="s">
        <v>119</v>
      </c>
    </row>
    <row r="330" spans="1:8" ht="29.25" customHeight="1">
      <c r="A330" s="91">
        <v>1</v>
      </c>
      <c r="B330" s="305" t="s">
        <v>398</v>
      </c>
      <c r="C330" s="305"/>
      <c r="D330" s="121">
        <v>20000</v>
      </c>
      <c r="E330" s="121">
        <f aca="true" t="shared" si="4" ref="E330:E335">F330/D330</f>
        <v>318.25</v>
      </c>
      <c r="F330" s="121">
        <f>1765000+1600000+3000000</f>
        <v>6365000</v>
      </c>
      <c r="G330" s="142">
        <f>34960</f>
        <v>34960</v>
      </c>
      <c r="H330" s="142">
        <f aca="true" t="shared" si="5" ref="H330:H338">F330+G330</f>
        <v>6399960</v>
      </c>
    </row>
    <row r="331" spans="1:8" ht="36.75" customHeight="1">
      <c r="A331" s="91">
        <v>2</v>
      </c>
      <c r="B331" s="309" t="s">
        <v>284</v>
      </c>
      <c r="C331" s="309"/>
      <c r="D331" s="121">
        <v>2000</v>
      </c>
      <c r="E331" s="121">
        <f t="shared" si="4"/>
        <v>338.754</v>
      </c>
      <c r="F331" s="121">
        <f>358600+318908</f>
        <v>677508</v>
      </c>
      <c r="G331" s="142">
        <f>300000-34960-230000</f>
        <v>35040</v>
      </c>
      <c r="H331" s="142">
        <f t="shared" si="5"/>
        <v>712548</v>
      </c>
    </row>
    <row r="332" spans="1:8" ht="34.5" customHeight="1">
      <c r="A332" s="91">
        <v>3</v>
      </c>
      <c r="B332" s="310" t="s">
        <v>285</v>
      </c>
      <c r="C332" s="310"/>
      <c r="D332" s="121">
        <v>1000</v>
      </c>
      <c r="E332" s="121">
        <f t="shared" si="4"/>
        <v>718.35</v>
      </c>
      <c r="F332" s="121">
        <f>418350+300000</f>
        <v>718350</v>
      </c>
      <c r="G332" s="142">
        <f>800000+550000</f>
        <v>1350000</v>
      </c>
      <c r="H332" s="142">
        <f t="shared" si="5"/>
        <v>2068350</v>
      </c>
    </row>
    <row r="333" spans="1:8" ht="18.75" customHeight="1">
      <c r="A333" s="91">
        <v>4</v>
      </c>
      <c r="B333" s="310" t="s">
        <v>286</v>
      </c>
      <c r="C333" s="310"/>
      <c r="D333" s="121">
        <v>1000</v>
      </c>
      <c r="E333" s="121">
        <f t="shared" si="4"/>
        <v>554.8</v>
      </c>
      <c r="F333" s="121">
        <f>537300+17500</f>
        <v>554800</v>
      </c>
      <c r="G333" s="142">
        <f>10500-10500</f>
        <v>0</v>
      </c>
      <c r="H333" s="142">
        <f t="shared" si="5"/>
        <v>554800</v>
      </c>
    </row>
    <row r="334" spans="1:8" ht="21.75" customHeight="1">
      <c r="A334" s="91">
        <v>5</v>
      </c>
      <c r="B334" s="308" t="s">
        <v>287</v>
      </c>
      <c r="C334" s="308"/>
      <c r="D334" s="121">
        <f>200-200+120</f>
        <v>120</v>
      </c>
      <c r="E334" s="121">
        <f t="shared" si="4"/>
        <v>1975.8333333333333</v>
      </c>
      <c r="F334" s="121">
        <f>254600-17500</f>
        <v>237100</v>
      </c>
      <c r="G334" s="142">
        <f>5000-5000</f>
        <v>0</v>
      </c>
      <c r="H334" s="142">
        <f t="shared" si="5"/>
        <v>237100</v>
      </c>
    </row>
    <row r="335" spans="1:8" ht="15.75" customHeight="1">
      <c r="A335" s="91">
        <v>6</v>
      </c>
      <c r="B335" s="308" t="s">
        <v>288</v>
      </c>
      <c r="C335" s="308"/>
      <c r="D335" s="121">
        <v>1000</v>
      </c>
      <c r="E335" s="121">
        <f t="shared" si="4"/>
        <v>119.25</v>
      </c>
      <c r="F335" s="121">
        <v>119250</v>
      </c>
      <c r="G335" s="142">
        <f>150000+7380+30000</f>
        <v>187380</v>
      </c>
      <c r="H335" s="142">
        <f t="shared" si="5"/>
        <v>306630</v>
      </c>
    </row>
    <row r="336" spans="1:8" ht="15.75" customHeight="1">
      <c r="A336" s="91">
        <v>7</v>
      </c>
      <c r="B336" s="308" t="s">
        <v>289</v>
      </c>
      <c r="C336" s="308"/>
      <c r="D336" s="121"/>
      <c r="E336" s="121"/>
      <c r="F336" s="121"/>
      <c r="G336" s="142">
        <f>100000-70000</f>
        <v>30000</v>
      </c>
      <c r="H336" s="142">
        <f t="shared" si="5"/>
        <v>30000</v>
      </c>
    </row>
    <row r="337" spans="1:8" ht="28.5" customHeight="1">
      <c r="A337" s="91">
        <v>8</v>
      </c>
      <c r="B337" s="308" t="s">
        <v>290</v>
      </c>
      <c r="C337" s="308"/>
      <c r="D337" s="121"/>
      <c r="E337" s="121"/>
      <c r="F337" s="121"/>
      <c r="G337" s="142">
        <f>50000+70000+50000</f>
        <v>170000</v>
      </c>
      <c r="H337" s="142">
        <f t="shared" si="5"/>
        <v>170000</v>
      </c>
    </row>
    <row r="338" spans="1:8" ht="23.25" customHeight="1">
      <c r="A338" s="91">
        <v>9</v>
      </c>
      <c r="B338" s="308" t="s">
        <v>291</v>
      </c>
      <c r="C338" s="308"/>
      <c r="D338" s="121"/>
      <c r="E338" s="121"/>
      <c r="F338" s="121"/>
      <c r="G338" s="142">
        <v>5000</v>
      </c>
      <c r="H338" s="142">
        <f t="shared" si="5"/>
        <v>5000</v>
      </c>
    </row>
    <row r="339" spans="1:8" ht="18" customHeight="1">
      <c r="A339" s="105"/>
      <c r="B339" s="304" t="s">
        <v>118</v>
      </c>
      <c r="C339" s="304"/>
      <c r="D339" s="105"/>
      <c r="E339" s="137" t="s">
        <v>119</v>
      </c>
      <c r="F339" s="137">
        <f>SUM(F330:F338)</f>
        <v>8672008</v>
      </c>
      <c r="G339" s="137">
        <f>SUM(G330:G338)</f>
        <v>1812380</v>
      </c>
      <c r="H339" s="137">
        <f>SUM(H330:H338)</f>
        <v>10484388</v>
      </c>
    </row>
    <row r="340" spans="1:6" ht="12" customHeight="1">
      <c r="A340" s="113"/>
      <c r="B340" s="113"/>
      <c r="C340" s="113"/>
      <c r="D340" s="113"/>
      <c r="E340" s="139"/>
      <c r="F340" s="139"/>
    </row>
    <row r="341" spans="1:8" ht="18" customHeight="1">
      <c r="A341" s="307" t="s">
        <v>292</v>
      </c>
      <c r="B341" s="307"/>
      <c r="C341" s="307"/>
      <c r="D341" s="307"/>
      <c r="E341" s="307"/>
      <c r="F341" s="307"/>
      <c r="G341" s="307"/>
      <c r="H341" s="307"/>
    </row>
    <row r="342" spans="1:8" ht="18" customHeight="1">
      <c r="A342" s="301" t="s">
        <v>104</v>
      </c>
      <c r="B342" s="302" t="s">
        <v>161</v>
      </c>
      <c r="C342" s="302"/>
      <c r="D342" s="301" t="s">
        <v>106</v>
      </c>
      <c r="E342" s="301"/>
      <c r="F342" s="301"/>
      <c r="G342" s="301"/>
      <c r="H342" s="302" t="s">
        <v>107</v>
      </c>
    </row>
    <row r="343" spans="1:8" ht="50.25" customHeight="1">
      <c r="A343" s="301"/>
      <c r="B343" s="302"/>
      <c r="C343" s="302"/>
      <c r="D343" s="301" t="s">
        <v>108</v>
      </c>
      <c r="E343" s="301"/>
      <c r="F343" s="301"/>
      <c r="G343" s="85" t="s">
        <v>12</v>
      </c>
      <c r="H343" s="302"/>
    </row>
    <row r="344" spans="1:8" ht="24" customHeight="1">
      <c r="A344" s="301"/>
      <c r="B344" s="302"/>
      <c r="C344" s="302"/>
      <c r="D344" s="87" t="s">
        <v>253</v>
      </c>
      <c r="E344" s="86" t="s">
        <v>254</v>
      </c>
      <c r="F344" s="87" t="s">
        <v>112</v>
      </c>
      <c r="G344" s="100" t="s">
        <v>112</v>
      </c>
      <c r="H344" s="302"/>
    </row>
    <row r="345" spans="1:8" ht="18" customHeight="1">
      <c r="A345" s="91">
        <v>1</v>
      </c>
      <c r="B345" s="303">
        <v>2</v>
      </c>
      <c r="C345" s="303"/>
      <c r="D345" s="91">
        <v>3</v>
      </c>
      <c r="E345" s="91">
        <v>4</v>
      </c>
      <c r="F345" s="91" t="s">
        <v>124</v>
      </c>
      <c r="G345" s="91">
        <v>6</v>
      </c>
      <c r="H345" s="91" t="s">
        <v>125</v>
      </c>
    </row>
    <row r="346" spans="1:8" ht="27" customHeight="1">
      <c r="A346" s="170" t="s">
        <v>293</v>
      </c>
      <c r="B346" s="304" t="s">
        <v>68</v>
      </c>
      <c r="C346" s="304"/>
      <c r="D346" s="304"/>
      <c r="E346" s="304"/>
      <c r="F346" s="105" t="s">
        <v>119</v>
      </c>
      <c r="G346" s="143" t="s">
        <v>16</v>
      </c>
      <c r="H346" s="143" t="s">
        <v>16</v>
      </c>
    </row>
    <row r="347" spans="1:8" ht="30" customHeight="1">
      <c r="A347" s="91">
        <v>1</v>
      </c>
      <c r="B347" s="305" t="s">
        <v>294</v>
      </c>
      <c r="C347" s="305"/>
      <c r="D347" s="121"/>
      <c r="E347" s="121"/>
      <c r="F347" s="121">
        <v>0</v>
      </c>
      <c r="G347" s="142">
        <v>10000</v>
      </c>
      <c r="H347" s="142">
        <f>F347+G347</f>
        <v>10000</v>
      </c>
    </row>
    <row r="348" spans="1:8" ht="18" customHeight="1">
      <c r="A348" s="105"/>
      <c r="B348" s="296" t="s">
        <v>118</v>
      </c>
      <c r="C348" s="296"/>
      <c r="D348" s="296"/>
      <c r="E348" s="105" t="s">
        <v>119</v>
      </c>
      <c r="F348" s="137">
        <f>SUM(F347)</f>
        <v>0</v>
      </c>
      <c r="G348" s="137">
        <f>SUM(G347)</f>
        <v>10000</v>
      </c>
      <c r="H348" s="137">
        <f>SUM(H347)</f>
        <v>10000</v>
      </c>
    </row>
    <row r="349" spans="1:8" ht="9" customHeight="1">
      <c r="A349" s="166"/>
      <c r="B349" s="166"/>
      <c r="C349" s="166"/>
      <c r="D349" s="166"/>
      <c r="E349" s="166"/>
      <c r="F349" s="166"/>
      <c r="G349" s="166"/>
      <c r="H349" s="166"/>
    </row>
    <row r="350" spans="1:8" s="175" customFormat="1" ht="20.25" customHeight="1">
      <c r="A350" s="91"/>
      <c r="B350" s="303" t="s">
        <v>295</v>
      </c>
      <c r="C350" s="303"/>
      <c r="D350" s="121" t="s">
        <v>119</v>
      </c>
      <c r="E350" s="121" t="s">
        <v>119</v>
      </c>
      <c r="F350" s="121">
        <f>F281+F290+F322+F339+F348</f>
        <v>29973808</v>
      </c>
      <c r="G350" s="121">
        <f>G281+G290+G300+G309+G322+G339+G348</f>
        <v>15679080</v>
      </c>
      <c r="H350" s="121">
        <f>H281+H290+H300+H309+H322+H339+H348</f>
        <v>45652888</v>
      </c>
    </row>
    <row r="351" spans="1:6" ht="12.75" customHeight="1">
      <c r="A351" s="113"/>
      <c r="B351" s="176"/>
      <c r="C351" s="176"/>
      <c r="D351" s="113"/>
      <c r="E351" s="139"/>
      <c r="F351" s="139"/>
    </row>
    <row r="352" spans="1:8" ht="18" customHeight="1">
      <c r="A352" s="306" t="s">
        <v>296</v>
      </c>
      <c r="B352" s="306"/>
      <c r="C352" s="306"/>
      <c r="D352" s="306"/>
      <c r="E352" s="306"/>
      <c r="F352" s="306"/>
      <c r="G352" s="306"/>
      <c r="H352" s="306"/>
    </row>
    <row r="353" spans="1:6" ht="9" customHeight="1">
      <c r="A353" s="166"/>
      <c r="B353" s="169"/>
      <c r="C353" s="169"/>
      <c r="D353" s="168"/>
      <c r="E353" s="168"/>
      <c r="F353" s="168"/>
    </row>
    <row r="354" spans="1:8" ht="18" customHeight="1">
      <c r="A354" s="300" t="s">
        <v>297</v>
      </c>
      <c r="B354" s="300"/>
      <c r="C354" s="300"/>
      <c r="D354" s="300"/>
      <c r="E354" s="300"/>
      <c r="F354" s="300"/>
      <c r="G354" s="300"/>
      <c r="H354" s="300"/>
    </row>
    <row r="355" spans="1:8" ht="18" customHeight="1">
      <c r="A355" s="301" t="s">
        <v>104</v>
      </c>
      <c r="B355" s="301" t="s">
        <v>161</v>
      </c>
      <c r="C355" s="301" t="s">
        <v>106</v>
      </c>
      <c r="D355" s="301"/>
      <c r="E355" s="301"/>
      <c r="F355" s="301"/>
      <c r="G355" s="301"/>
      <c r="H355" s="302" t="s">
        <v>107</v>
      </c>
    </row>
    <row r="356" spans="1:8" ht="45" customHeight="1">
      <c r="A356" s="301"/>
      <c r="B356" s="301"/>
      <c r="C356" s="301" t="s">
        <v>108</v>
      </c>
      <c r="D356" s="301"/>
      <c r="E356" s="301"/>
      <c r="F356" s="301"/>
      <c r="G356" s="85" t="s">
        <v>12</v>
      </c>
      <c r="H356" s="302"/>
    </row>
    <row r="357" spans="1:8" ht="29.25" customHeight="1">
      <c r="A357" s="301"/>
      <c r="B357" s="301"/>
      <c r="C357" s="86" t="s">
        <v>298</v>
      </c>
      <c r="D357" s="86" t="s">
        <v>186</v>
      </c>
      <c r="E357" s="86" t="s">
        <v>187</v>
      </c>
      <c r="F357" s="177" t="s">
        <v>112</v>
      </c>
      <c r="G357" s="178" t="s">
        <v>112</v>
      </c>
      <c r="H357" s="302"/>
    </row>
    <row r="358" spans="1:8" ht="18" customHeight="1">
      <c r="A358" s="87">
        <v>1</v>
      </c>
      <c r="B358" s="86">
        <v>2</v>
      </c>
      <c r="C358" s="87">
        <v>3</v>
      </c>
      <c r="D358" s="87">
        <v>4</v>
      </c>
      <c r="E358" s="87">
        <v>5</v>
      </c>
      <c r="F358" s="88" t="s">
        <v>188</v>
      </c>
      <c r="G358" s="88">
        <v>7</v>
      </c>
      <c r="H358" s="88" t="s">
        <v>113</v>
      </c>
    </row>
    <row r="359" spans="1:8" ht="45" customHeight="1">
      <c r="A359" s="91" t="s">
        <v>165</v>
      </c>
      <c r="B359" s="144" t="s">
        <v>299</v>
      </c>
      <c r="C359" s="91">
        <v>0</v>
      </c>
      <c r="D359" s="91">
        <v>0</v>
      </c>
      <c r="E359" s="121">
        <v>0</v>
      </c>
      <c r="F359" s="121">
        <f>C359*D359*E359</f>
        <v>0</v>
      </c>
      <c r="G359" s="142">
        <v>5000</v>
      </c>
      <c r="H359" s="142">
        <f>F359+G359</f>
        <v>5000</v>
      </c>
    </row>
    <row r="360" spans="1:8" ht="18" customHeight="1">
      <c r="A360" s="296" t="s">
        <v>118</v>
      </c>
      <c r="B360" s="296"/>
      <c r="C360" s="105">
        <f>SUM(C357:C357)</f>
        <v>0</v>
      </c>
      <c r="D360" s="105" t="s">
        <v>119</v>
      </c>
      <c r="E360" s="105" t="s">
        <v>119</v>
      </c>
      <c r="F360" s="137">
        <f>SUM(F357:F359)</f>
        <v>0</v>
      </c>
      <c r="G360" s="137">
        <f>SUM(G359)</f>
        <v>5000</v>
      </c>
      <c r="H360" s="137">
        <f>SUM(H357:H359)</f>
        <v>5000</v>
      </c>
    </row>
    <row r="361" spans="1:6" ht="18" customHeight="1">
      <c r="A361" s="113"/>
      <c r="B361" s="176"/>
      <c r="C361" s="176"/>
      <c r="D361" s="113"/>
      <c r="E361" s="139"/>
      <c r="F361" s="139"/>
    </row>
    <row r="362" spans="1:8" ht="15.75" customHeight="1">
      <c r="A362" s="82"/>
      <c r="B362" s="109"/>
      <c r="C362" s="109"/>
      <c r="D362" s="109"/>
      <c r="E362" s="110"/>
      <c r="F362" s="127"/>
      <c r="G362" s="127"/>
      <c r="H362" s="127"/>
    </row>
    <row r="363" spans="1:8" s="77" customFormat="1" ht="18" customHeight="1">
      <c r="A363" s="141"/>
      <c r="B363" s="297" t="s">
        <v>300</v>
      </c>
      <c r="C363" s="297"/>
      <c r="D363" s="297"/>
      <c r="E363" s="110"/>
      <c r="F363" s="127">
        <f>F117+F133+F164+F175+F187+F202+F225+F245+F256+F269+F350+F360</f>
        <v>46808800.004</v>
      </c>
      <c r="G363" s="127">
        <f>G117+G133+G149+G164+G175+G187+G202+G225+G245+G256+G269+G350+G360</f>
        <v>29424114.509999998</v>
      </c>
      <c r="H363" s="127">
        <f>F363+G363</f>
        <v>76232914.514</v>
      </c>
    </row>
    <row r="364" spans="1:8" s="77" customFormat="1" ht="18.75" customHeight="1">
      <c r="A364" s="141"/>
      <c r="B364" s="297" t="s">
        <v>301</v>
      </c>
      <c r="C364" s="297"/>
      <c r="D364" s="297"/>
      <c r="E364" s="110"/>
      <c r="F364" s="127">
        <f>F43+F79+F117+F133+F149+F164+F175+F187+F202+F225+F245+F256+F269+F350+F360-0.01</f>
        <v>141669799.99540254</v>
      </c>
      <c r="G364" s="127">
        <f>G43+G79+G117+G133+G149+G164+G175+G187+G202+G225+G245+G256+G269+G350+G360</f>
        <v>34014214.51</v>
      </c>
      <c r="H364" s="127">
        <f>H43+H79+H117+H133+H149+H164+H175+H187+H202+H225+H245+H256+H269+H350+H360-0.01</f>
        <v>175684014.50540254</v>
      </c>
    </row>
    <row r="365" spans="1:8" s="77" customFormat="1" ht="42.75" customHeight="1">
      <c r="A365" s="141"/>
      <c r="B365" s="141"/>
      <c r="C365" s="141"/>
      <c r="D365" s="141"/>
      <c r="E365" s="110"/>
      <c r="F365" s="110"/>
      <c r="G365" s="110"/>
      <c r="H365" s="110"/>
    </row>
    <row r="366" spans="1:8" s="77" customFormat="1" ht="18.75">
      <c r="A366" s="291" t="s">
        <v>403</v>
      </c>
      <c r="B366" s="291"/>
      <c r="C366" s="179"/>
      <c r="D366" s="179"/>
      <c r="E366" s="180"/>
      <c r="F366" s="181"/>
      <c r="G366" s="298" t="s">
        <v>404</v>
      </c>
      <c r="H366" s="298"/>
    </row>
    <row r="367" spans="1:8" s="77" customFormat="1" ht="18.75">
      <c r="A367" s="293" t="s">
        <v>302</v>
      </c>
      <c r="B367" s="293"/>
      <c r="E367" s="77" t="s">
        <v>77</v>
      </c>
      <c r="F367" s="182"/>
      <c r="G367" s="299" t="s">
        <v>78</v>
      </c>
      <c r="H367" s="299"/>
    </row>
    <row r="368" spans="1:7" s="77" customFormat="1" ht="18.75">
      <c r="A368" s="183"/>
      <c r="G368" s="184"/>
    </row>
    <row r="369" spans="1:8" s="77" customFormat="1" ht="18.75">
      <c r="A369" s="291" t="s">
        <v>79</v>
      </c>
      <c r="B369" s="291"/>
      <c r="C369" s="179"/>
      <c r="D369" s="179"/>
      <c r="E369" s="180"/>
      <c r="F369" s="181"/>
      <c r="G369" s="292" t="s">
        <v>80</v>
      </c>
      <c r="H369" s="292"/>
    </row>
    <row r="370" spans="1:8" s="77" customFormat="1" ht="18.75">
      <c r="A370" s="293" t="s">
        <v>302</v>
      </c>
      <c r="B370" s="293"/>
      <c r="E370" s="77" t="s">
        <v>77</v>
      </c>
      <c r="F370" s="182"/>
      <c r="G370" s="294" t="s">
        <v>78</v>
      </c>
      <c r="H370" s="294"/>
    </row>
    <row r="371" s="77" customFormat="1" ht="18.75"/>
    <row r="372" s="77" customFormat="1" ht="18.75"/>
    <row r="373" spans="1:12" s="77" customFormat="1" ht="21" customHeight="1">
      <c r="A373" s="295"/>
      <c r="B373" s="295"/>
      <c r="C373" s="295"/>
      <c r="D373" s="295"/>
      <c r="E373" s="295"/>
      <c r="F373" s="295"/>
      <c r="G373" s="295"/>
      <c r="H373" s="295"/>
      <c r="L373" s="185"/>
    </row>
  </sheetData>
  <sheetProtection selectLockedCells="1" selectUnlockedCells="1"/>
  <mergeCells count="378"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13:E13"/>
    <mergeCell ref="A14:H14"/>
    <mergeCell ref="A16:H16"/>
    <mergeCell ref="A18:H18"/>
    <mergeCell ref="A19:F19"/>
    <mergeCell ref="A20:H20"/>
    <mergeCell ref="A22:A25"/>
    <mergeCell ref="B22:B25"/>
    <mergeCell ref="C22:G22"/>
    <mergeCell ref="H22:H25"/>
    <mergeCell ref="C23:F23"/>
    <mergeCell ref="C24:C25"/>
    <mergeCell ref="D24:D25"/>
    <mergeCell ref="E24:E25"/>
    <mergeCell ref="F24:F25"/>
    <mergeCell ref="G24:G25"/>
    <mergeCell ref="A31:B31"/>
    <mergeCell ref="A33:H33"/>
    <mergeCell ref="A34:H34"/>
    <mergeCell ref="A36:A38"/>
    <mergeCell ref="B36:C38"/>
    <mergeCell ref="D36:G36"/>
    <mergeCell ref="H36:H38"/>
    <mergeCell ref="D37:F37"/>
    <mergeCell ref="M37:T37"/>
    <mergeCell ref="M38:T38"/>
    <mergeCell ref="B39:C39"/>
    <mergeCell ref="B40:C40"/>
    <mergeCell ref="M40:M42"/>
    <mergeCell ref="N40:O42"/>
    <mergeCell ref="P40:S40"/>
    <mergeCell ref="T40:T42"/>
    <mergeCell ref="A41:C41"/>
    <mergeCell ref="P41:R41"/>
    <mergeCell ref="A45:H45"/>
    <mergeCell ref="A47:H47"/>
    <mergeCell ref="A48:H48"/>
    <mergeCell ref="A49:H49"/>
    <mergeCell ref="A50:A52"/>
    <mergeCell ref="B50:B52"/>
    <mergeCell ref="C50:G50"/>
    <mergeCell ref="H50:H52"/>
    <mergeCell ref="C51:F51"/>
    <mergeCell ref="C52:D52"/>
    <mergeCell ref="C53:D53"/>
    <mergeCell ref="B54:E54"/>
    <mergeCell ref="B55:E55"/>
    <mergeCell ref="C56:D56"/>
    <mergeCell ref="C57:D57"/>
    <mergeCell ref="C58:D58"/>
    <mergeCell ref="C59:D59"/>
    <mergeCell ref="B60:E60"/>
    <mergeCell ref="B61:E61"/>
    <mergeCell ref="B62:E62"/>
    <mergeCell ref="C63:D63"/>
    <mergeCell ref="C64:D64"/>
    <mergeCell ref="C65:D65"/>
    <mergeCell ref="C66:D66"/>
    <mergeCell ref="B67:E67"/>
    <mergeCell ref="C68:D68"/>
    <mergeCell ref="C69:D69"/>
    <mergeCell ref="C70:D70"/>
    <mergeCell ref="C71:D71"/>
    <mergeCell ref="B72:E72"/>
    <mergeCell ref="C73:D73"/>
    <mergeCell ref="C74:D74"/>
    <mergeCell ref="C75:D75"/>
    <mergeCell ref="C76:D76"/>
    <mergeCell ref="C77:D77"/>
    <mergeCell ref="A81:H81"/>
    <mergeCell ref="A82:H82"/>
    <mergeCell ref="A83:H83"/>
    <mergeCell ref="A84:H84"/>
    <mergeCell ref="A85:A87"/>
    <mergeCell ref="B85:B87"/>
    <mergeCell ref="C85:G85"/>
    <mergeCell ref="H85:H87"/>
    <mergeCell ref="C86:F86"/>
    <mergeCell ref="C87:D87"/>
    <mergeCell ref="C88:D88"/>
    <mergeCell ref="C89:D89"/>
    <mergeCell ref="A90:B90"/>
    <mergeCell ref="C90:D90"/>
    <mergeCell ref="A92:H92"/>
    <mergeCell ref="A93:A95"/>
    <mergeCell ref="B93:B95"/>
    <mergeCell ref="C93:G93"/>
    <mergeCell ref="H93:H95"/>
    <mergeCell ref="C94:F94"/>
    <mergeCell ref="C95:D95"/>
    <mergeCell ref="C96:D96"/>
    <mergeCell ref="C97:D97"/>
    <mergeCell ref="A98:B98"/>
    <mergeCell ref="C98:D98"/>
    <mergeCell ref="A100:H100"/>
    <mergeCell ref="A101:A103"/>
    <mergeCell ref="B101:B103"/>
    <mergeCell ref="C101:G101"/>
    <mergeCell ref="H101:H103"/>
    <mergeCell ref="C102:F102"/>
    <mergeCell ref="C103:D103"/>
    <mergeCell ref="C104:D104"/>
    <mergeCell ref="C105:D105"/>
    <mergeCell ref="A106:B106"/>
    <mergeCell ref="C106:D106"/>
    <mergeCell ref="A108:H108"/>
    <mergeCell ref="A109:A111"/>
    <mergeCell ref="B109:B111"/>
    <mergeCell ref="C109:G109"/>
    <mergeCell ref="H109:H111"/>
    <mergeCell ref="C110:F110"/>
    <mergeCell ref="C111:D111"/>
    <mergeCell ref="C112:D112"/>
    <mergeCell ref="C113:D113"/>
    <mergeCell ref="C114:D114"/>
    <mergeCell ref="C115:D115"/>
    <mergeCell ref="A116:B116"/>
    <mergeCell ref="C116:D116"/>
    <mergeCell ref="A119:H119"/>
    <mergeCell ref="A120:H120"/>
    <mergeCell ref="A121:H121"/>
    <mergeCell ref="A122:H122"/>
    <mergeCell ref="A123:A125"/>
    <mergeCell ref="B123:C125"/>
    <mergeCell ref="D123:G123"/>
    <mergeCell ref="H123:H125"/>
    <mergeCell ref="D124:F124"/>
    <mergeCell ref="B126:C126"/>
    <mergeCell ref="B127:C127"/>
    <mergeCell ref="B128:C128"/>
    <mergeCell ref="B129:C129"/>
    <mergeCell ref="B130:C130"/>
    <mergeCell ref="A131:C131"/>
    <mergeCell ref="A135:H135"/>
    <mergeCell ref="A136:H136"/>
    <mergeCell ref="A137:H137"/>
    <mergeCell ref="A139:H139"/>
    <mergeCell ref="A140:H140"/>
    <mergeCell ref="A141:H141"/>
    <mergeCell ref="A142:A144"/>
    <mergeCell ref="B142:D144"/>
    <mergeCell ref="E142:G142"/>
    <mergeCell ref="H142:H144"/>
    <mergeCell ref="E143:F143"/>
    <mergeCell ref="B145:D145"/>
    <mergeCell ref="B146:D146"/>
    <mergeCell ref="B147:D147"/>
    <mergeCell ref="A151:H151"/>
    <mergeCell ref="A152:F152"/>
    <mergeCell ref="A153:H153"/>
    <mergeCell ref="A155:H155"/>
    <mergeCell ref="A156:A158"/>
    <mergeCell ref="B156:B158"/>
    <mergeCell ref="C156:G156"/>
    <mergeCell ref="H156:H158"/>
    <mergeCell ref="C157:F157"/>
    <mergeCell ref="A164:B164"/>
    <mergeCell ref="A166:H166"/>
    <mergeCell ref="A167:H167"/>
    <mergeCell ref="A169:A171"/>
    <mergeCell ref="B169:C171"/>
    <mergeCell ref="D169:G169"/>
    <mergeCell ref="H169:H171"/>
    <mergeCell ref="D170:F170"/>
    <mergeCell ref="B172:C172"/>
    <mergeCell ref="B173:C173"/>
    <mergeCell ref="B174:C174"/>
    <mergeCell ref="A175:C175"/>
    <mergeCell ref="A177:H177"/>
    <mergeCell ref="A178:H178"/>
    <mergeCell ref="A179:A181"/>
    <mergeCell ref="B179:B181"/>
    <mergeCell ref="C179:G179"/>
    <mergeCell ref="H179:H181"/>
    <mergeCell ref="C180:F180"/>
    <mergeCell ref="A183:A184"/>
    <mergeCell ref="A185:A186"/>
    <mergeCell ref="A187:B187"/>
    <mergeCell ref="A189:H189"/>
    <mergeCell ref="A190:A192"/>
    <mergeCell ref="B190:B192"/>
    <mergeCell ref="C190:G190"/>
    <mergeCell ref="H190:H192"/>
    <mergeCell ref="C191:F191"/>
    <mergeCell ref="A194:A195"/>
    <mergeCell ref="A196:A199"/>
    <mergeCell ref="B196:B197"/>
    <mergeCell ref="B198:B199"/>
    <mergeCell ref="A200:A201"/>
    <mergeCell ref="A202:B202"/>
    <mergeCell ref="A204:H204"/>
    <mergeCell ref="A205:H205"/>
    <mergeCell ref="A206:H206"/>
    <mergeCell ref="A207:A209"/>
    <mergeCell ref="B207:C209"/>
    <mergeCell ref="D207:G207"/>
    <mergeCell ref="H207:H209"/>
    <mergeCell ref="D208:F208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A225:C225"/>
    <mergeCell ref="A227:H227"/>
    <mergeCell ref="A228:H228"/>
    <mergeCell ref="A229:H229"/>
    <mergeCell ref="A230:A232"/>
    <mergeCell ref="B230:D232"/>
    <mergeCell ref="E230:G230"/>
    <mergeCell ref="H230:H232"/>
    <mergeCell ref="E231:F231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A247:H247"/>
    <mergeCell ref="A249:H249"/>
    <mergeCell ref="A250:A252"/>
    <mergeCell ref="B250:D252"/>
    <mergeCell ref="E250:G250"/>
    <mergeCell ref="H250:H252"/>
    <mergeCell ref="E251:F251"/>
    <mergeCell ref="B253:D253"/>
    <mergeCell ref="B254:D254"/>
    <mergeCell ref="B255:D255"/>
    <mergeCell ref="B256:D256"/>
    <mergeCell ref="A258:H258"/>
    <mergeCell ref="A259:H259"/>
    <mergeCell ref="A260:H260"/>
    <mergeCell ref="A261:A263"/>
    <mergeCell ref="B261:C263"/>
    <mergeCell ref="D261:G261"/>
    <mergeCell ref="H261:H263"/>
    <mergeCell ref="D262:F262"/>
    <mergeCell ref="B264:C264"/>
    <mergeCell ref="B265:C265"/>
    <mergeCell ref="B266:C266"/>
    <mergeCell ref="B267:C267"/>
    <mergeCell ref="B268:C268"/>
    <mergeCell ref="B269:D269"/>
    <mergeCell ref="A271:H271"/>
    <mergeCell ref="A272:H272"/>
    <mergeCell ref="A273:A275"/>
    <mergeCell ref="B273:C275"/>
    <mergeCell ref="D273:G273"/>
    <mergeCell ref="H273:H275"/>
    <mergeCell ref="D274:F274"/>
    <mergeCell ref="B276:C276"/>
    <mergeCell ref="B277:E277"/>
    <mergeCell ref="B278:C278"/>
    <mergeCell ref="B279:C279"/>
    <mergeCell ref="B280:C280"/>
    <mergeCell ref="B281:D281"/>
    <mergeCell ref="A283:H283"/>
    <mergeCell ref="A284:A286"/>
    <mergeCell ref="B284:C286"/>
    <mergeCell ref="D284:G284"/>
    <mergeCell ref="H284:H286"/>
    <mergeCell ref="D285:F285"/>
    <mergeCell ref="B287:C287"/>
    <mergeCell ref="B288:E288"/>
    <mergeCell ref="B289:C289"/>
    <mergeCell ref="B290:D290"/>
    <mergeCell ref="A291:H291"/>
    <mergeCell ref="A293:H293"/>
    <mergeCell ref="A294:A296"/>
    <mergeCell ref="B294:C296"/>
    <mergeCell ref="D294:G294"/>
    <mergeCell ref="H294:H296"/>
    <mergeCell ref="D295:F295"/>
    <mergeCell ref="B297:C297"/>
    <mergeCell ref="B298:E298"/>
    <mergeCell ref="B299:C299"/>
    <mergeCell ref="B300:D300"/>
    <mergeCell ref="A302:H302"/>
    <mergeCell ref="A303:A305"/>
    <mergeCell ref="B303:C305"/>
    <mergeCell ref="D303:G303"/>
    <mergeCell ref="H303:H305"/>
    <mergeCell ref="D304:F304"/>
    <mergeCell ref="B306:C306"/>
    <mergeCell ref="B307:E307"/>
    <mergeCell ref="B308:C308"/>
    <mergeCell ref="B309:D309"/>
    <mergeCell ref="A311:H311"/>
    <mergeCell ref="A312:A314"/>
    <mergeCell ref="B312:C314"/>
    <mergeCell ref="D312:G312"/>
    <mergeCell ref="H312:H314"/>
    <mergeCell ref="D313:F313"/>
    <mergeCell ref="B315:C315"/>
    <mergeCell ref="B316:E316"/>
    <mergeCell ref="B317:C317"/>
    <mergeCell ref="B318:C318"/>
    <mergeCell ref="B319:C319"/>
    <mergeCell ref="B320:C320"/>
    <mergeCell ref="B321:C321"/>
    <mergeCell ref="B322:D322"/>
    <mergeCell ref="A324:H324"/>
    <mergeCell ref="A325:A327"/>
    <mergeCell ref="B325:C327"/>
    <mergeCell ref="D325:G325"/>
    <mergeCell ref="H325:H327"/>
    <mergeCell ref="D326:F326"/>
    <mergeCell ref="B328:C328"/>
    <mergeCell ref="B329:E329"/>
    <mergeCell ref="B330:C330"/>
    <mergeCell ref="B331:C331"/>
    <mergeCell ref="B332:C332"/>
    <mergeCell ref="B333:C333"/>
    <mergeCell ref="B334:C334"/>
    <mergeCell ref="B335:C335"/>
    <mergeCell ref="B336:C336"/>
    <mergeCell ref="B337:C337"/>
    <mergeCell ref="B338:C338"/>
    <mergeCell ref="B339:C339"/>
    <mergeCell ref="A341:H341"/>
    <mergeCell ref="A342:A344"/>
    <mergeCell ref="B342:C344"/>
    <mergeCell ref="D342:G342"/>
    <mergeCell ref="H342:H344"/>
    <mergeCell ref="D343:F343"/>
    <mergeCell ref="B345:C345"/>
    <mergeCell ref="B346:E346"/>
    <mergeCell ref="B347:C347"/>
    <mergeCell ref="B348:D348"/>
    <mergeCell ref="B350:C350"/>
    <mergeCell ref="A352:H352"/>
    <mergeCell ref="A367:B367"/>
    <mergeCell ref="G367:H367"/>
    <mergeCell ref="A354:H354"/>
    <mergeCell ref="A355:A357"/>
    <mergeCell ref="B355:B357"/>
    <mergeCell ref="C355:G355"/>
    <mergeCell ref="H355:H357"/>
    <mergeCell ref="C356:F356"/>
    <mergeCell ref="A369:B369"/>
    <mergeCell ref="G369:H369"/>
    <mergeCell ref="A370:B370"/>
    <mergeCell ref="G370:H370"/>
    <mergeCell ref="A373:H373"/>
    <mergeCell ref="A360:B360"/>
    <mergeCell ref="B363:D363"/>
    <mergeCell ref="B364:D364"/>
    <mergeCell ref="A366:B366"/>
    <mergeCell ref="G366:H366"/>
  </mergeCells>
  <printOptions/>
  <pageMargins left="0.9840277777777777" right="0.07847222222222222" top="0.5902777777777778" bottom="0.39375" header="0.5118055555555555" footer="0.5118055555555555"/>
  <pageSetup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zoomScalePageLayoutView="0" workbookViewId="0" topLeftCell="A344">
      <selection activeCell="B365" sqref="B365"/>
    </sheetView>
  </sheetViews>
  <sheetFormatPr defaultColWidth="9.140625" defaultRowHeight="15"/>
  <cols>
    <col min="1" max="1" width="5.28125" style="0" customWidth="1"/>
    <col min="2" max="2" width="37.421875" style="0" customWidth="1"/>
    <col min="3" max="4" width="13.7109375" style="0" customWidth="1"/>
    <col min="5" max="5" width="16.140625" style="0" customWidth="1"/>
    <col min="6" max="6" width="20.140625" style="0" customWidth="1"/>
    <col min="7" max="7" width="26.421875" style="0" customWidth="1"/>
    <col min="8" max="8" width="19.57421875" style="0" customWidth="1"/>
    <col min="9" max="9" width="13.140625" style="0" customWidth="1"/>
  </cols>
  <sheetData>
    <row r="1" spans="1:256" s="77" customFormat="1" ht="15" customHeight="1">
      <c r="A1" s="75"/>
      <c r="B1" s="75"/>
      <c r="C1" s="75"/>
      <c r="D1" s="76"/>
      <c r="E1" s="76"/>
      <c r="G1" s="344" t="s">
        <v>91</v>
      </c>
      <c r="H1" s="344"/>
      <c r="IU1"/>
      <c r="IV1"/>
    </row>
    <row r="2" spans="1:256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U2"/>
      <c r="IV2"/>
    </row>
    <row r="3" spans="1:256" s="77" customFormat="1" ht="12.75" customHeight="1">
      <c r="A3" s="75"/>
      <c r="B3" s="75"/>
      <c r="C3" s="75"/>
      <c r="D3" s="75"/>
      <c r="E3" s="75"/>
      <c r="F3" s="75"/>
      <c r="G3" s="338"/>
      <c r="H3" s="338"/>
      <c r="IU3"/>
      <c r="IV3"/>
    </row>
    <row r="4" spans="1:256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U4"/>
      <c r="IV4"/>
    </row>
    <row r="5" spans="1:256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U5"/>
      <c r="IV5"/>
    </row>
    <row r="6" spans="1:256" s="77" customFormat="1" ht="18.75" customHeight="1">
      <c r="A6" s="338" t="s">
        <v>94</v>
      </c>
      <c r="B6" s="338"/>
      <c r="C6" s="338"/>
      <c r="D6" s="338"/>
      <c r="E6" s="338"/>
      <c r="F6" s="338"/>
      <c r="G6" s="338"/>
      <c r="H6" s="338"/>
      <c r="IU6"/>
      <c r="IV6"/>
    </row>
    <row r="7" spans="1:256" s="77" customFormat="1" ht="18.75" customHeight="1">
      <c r="A7" s="340" t="s">
        <v>95</v>
      </c>
      <c r="B7" s="340"/>
      <c r="C7" s="340"/>
      <c r="D7" s="340"/>
      <c r="E7" s="340"/>
      <c r="F7" s="340"/>
      <c r="G7" s="340"/>
      <c r="H7" s="340"/>
      <c r="IU7"/>
      <c r="IV7"/>
    </row>
    <row r="8" spans="1:256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U8"/>
      <c r="IV8"/>
    </row>
    <row r="9" spans="1:256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U9"/>
      <c r="IV9"/>
    </row>
    <row r="10" spans="1:256" s="77" customFormat="1" ht="18.75" customHeight="1">
      <c r="A10" s="325" t="s">
        <v>303</v>
      </c>
      <c r="B10" s="325"/>
      <c r="C10" s="325"/>
      <c r="D10" s="325"/>
      <c r="E10" s="325"/>
      <c r="F10" s="325"/>
      <c r="G10" s="325"/>
      <c r="H10" s="325"/>
      <c r="IU10"/>
      <c r="IV10"/>
    </row>
    <row r="11" spans="1:256" s="77" customFormat="1" ht="15.75" customHeight="1" hidden="1">
      <c r="A11" s="342"/>
      <c r="B11" s="342"/>
      <c r="C11" s="342"/>
      <c r="D11" s="342"/>
      <c r="E11" s="342"/>
      <c r="IV11"/>
    </row>
    <row r="12" spans="1:256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V12"/>
    </row>
    <row r="13" spans="1:256" s="77" customFormat="1" ht="19.5" customHeight="1">
      <c r="A13" s="338"/>
      <c r="B13" s="338"/>
      <c r="C13" s="338"/>
      <c r="D13" s="338"/>
      <c r="E13" s="338"/>
      <c r="IV13"/>
    </row>
    <row r="14" spans="1:256" s="77" customFormat="1" ht="97.5" customHeight="1">
      <c r="A14" s="323" t="s">
        <v>100</v>
      </c>
      <c r="B14" s="323"/>
      <c r="C14" s="323"/>
      <c r="D14" s="323"/>
      <c r="E14" s="323"/>
      <c r="F14" s="323"/>
      <c r="G14" s="323"/>
      <c r="H14" s="323"/>
      <c r="IV14"/>
    </row>
    <row r="15" spans="1:256" s="77" customFormat="1" ht="15" customHeight="1">
      <c r="A15" s="81"/>
      <c r="B15" s="81"/>
      <c r="C15" s="81"/>
      <c r="D15" s="81"/>
      <c r="E15" s="81"/>
      <c r="F15" s="81"/>
      <c r="IV15"/>
    </row>
    <row r="16" spans="1:8" ht="15.75" customHeight="1">
      <c r="A16" s="325" t="s">
        <v>101</v>
      </c>
      <c r="B16" s="325"/>
      <c r="C16" s="325"/>
      <c r="D16" s="325"/>
      <c r="E16" s="325"/>
      <c r="F16" s="325"/>
      <c r="G16" s="325"/>
      <c r="H16" s="325"/>
    </row>
    <row r="17" spans="1:256" s="77" customFormat="1" ht="22.5" customHeight="1" hidden="1">
      <c r="A17" s="81"/>
      <c r="B17" s="81"/>
      <c r="C17" s="81"/>
      <c r="D17" s="81"/>
      <c r="E17" s="81"/>
      <c r="IV17"/>
    </row>
    <row r="18" spans="1:8" ht="15.75" customHeight="1">
      <c r="A18" s="323" t="s">
        <v>102</v>
      </c>
      <c r="B18" s="323"/>
      <c r="C18" s="323"/>
      <c r="D18" s="323"/>
      <c r="E18" s="323"/>
      <c r="F18" s="323"/>
      <c r="G18" s="323"/>
      <c r="H18" s="323"/>
    </row>
    <row r="19" spans="1:6" ht="15.75" customHeight="1" hidden="1">
      <c r="A19" s="339"/>
      <c r="B19" s="339"/>
      <c r="C19" s="339"/>
      <c r="D19" s="339"/>
      <c r="E19" s="339"/>
      <c r="F19" s="339"/>
    </row>
    <row r="20" spans="1:8" s="83" customFormat="1" ht="19.5" customHeight="1">
      <c r="A20" s="307" t="s">
        <v>103</v>
      </c>
      <c r="B20" s="307"/>
      <c r="C20" s="307"/>
      <c r="D20" s="307"/>
      <c r="E20" s="307"/>
      <c r="F20" s="307"/>
      <c r="G20" s="307"/>
      <c r="H20" s="307"/>
    </row>
    <row r="21" spans="1:3" s="83" customFormat="1" ht="26.25" customHeight="1" hidden="1">
      <c r="A21" s="82"/>
      <c r="B21" s="82"/>
      <c r="C21" s="82"/>
    </row>
    <row r="22" spans="1:8" s="84" customFormat="1" ht="26.25" customHeight="1">
      <c r="A22" s="301" t="s">
        <v>104</v>
      </c>
      <c r="B22" s="301" t="s">
        <v>105</v>
      </c>
      <c r="C22" s="301" t="s">
        <v>106</v>
      </c>
      <c r="D22" s="301"/>
      <c r="E22" s="301"/>
      <c r="F22" s="301"/>
      <c r="G22" s="301"/>
      <c r="H22" s="302" t="s">
        <v>107</v>
      </c>
    </row>
    <row r="23" spans="1:8" s="84" customFormat="1" ht="47.25" customHeight="1">
      <c r="A23" s="301"/>
      <c r="B23" s="301"/>
      <c r="C23" s="301" t="s">
        <v>108</v>
      </c>
      <c r="D23" s="301"/>
      <c r="E23" s="301"/>
      <c r="F23" s="301"/>
      <c r="G23" s="85" t="s">
        <v>12</v>
      </c>
      <c r="H23" s="302"/>
    </row>
    <row r="24" spans="1:8" s="84" customFormat="1" ht="47.25" customHeight="1">
      <c r="A24" s="301"/>
      <c r="B24" s="301"/>
      <c r="C24" s="334" t="s">
        <v>109</v>
      </c>
      <c r="D24" s="334" t="s">
        <v>110</v>
      </c>
      <c r="E24" s="334" t="s">
        <v>111</v>
      </c>
      <c r="F24" s="334" t="s">
        <v>112</v>
      </c>
      <c r="G24" s="334" t="s">
        <v>112</v>
      </c>
      <c r="H24" s="302"/>
    </row>
    <row r="25" spans="1:8" s="84" customFormat="1" ht="52.5" customHeight="1">
      <c r="A25" s="301"/>
      <c r="B25" s="301"/>
      <c r="C25" s="334"/>
      <c r="D25" s="334"/>
      <c r="E25" s="334"/>
      <c r="F25" s="334"/>
      <c r="G25" s="334"/>
      <c r="H25" s="302"/>
    </row>
    <row r="26" spans="1:8" ht="15">
      <c r="A26" s="87">
        <v>1</v>
      </c>
      <c r="B26" s="86">
        <v>2</v>
      </c>
      <c r="C26" s="87">
        <v>3</v>
      </c>
      <c r="D26" s="87">
        <v>4</v>
      </c>
      <c r="E26" s="87">
        <v>5</v>
      </c>
      <c r="F26" s="88">
        <v>6</v>
      </c>
      <c r="G26" s="87">
        <v>7</v>
      </c>
      <c r="H26" s="88" t="s">
        <v>113</v>
      </c>
    </row>
    <row r="27" spans="1:8" ht="16.5" customHeight="1">
      <c r="A27" s="89">
        <v>1</v>
      </c>
      <c r="B27" s="90" t="s">
        <v>114</v>
      </c>
      <c r="C27" s="91">
        <v>4</v>
      </c>
      <c r="D27" s="92">
        <v>93502.0834</v>
      </c>
      <c r="E27" s="89">
        <v>12</v>
      </c>
      <c r="F27" s="93">
        <f>C27*D27*E27-14300</f>
        <v>4473800.0032</v>
      </c>
      <c r="G27" s="94"/>
      <c r="H27" s="94">
        <f>F27+G27</f>
        <v>4473800.0032</v>
      </c>
    </row>
    <row r="28" spans="1:8" ht="16.5" customHeight="1">
      <c r="A28" s="89">
        <v>2</v>
      </c>
      <c r="B28" s="90" t="s">
        <v>115</v>
      </c>
      <c r="C28" s="91">
        <v>23</v>
      </c>
      <c r="D28" s="92">
        <v>46751.0869565</v>
      </c>
      <c r="E28" s="89">
        <v>12</v>
      </c>
      <c r="F28" s="93">
        <f>C28*D28*E28-41200</f>
        <v>12862099.999994002</v>
      </c>
      <c r="G28" s="94"/>
      <c r="H28" s="94">
        <f>F28+G28</f>
        <v>12862099.999994002</v>
      </c>
    </row>
    <row r="29" spans="1:8" ht="16.5" customHeight="1">
      <c r="A29" s="89">
        <v>3</v>
      </c>
      <c r="B29" s="90" t="s">
        <v>116</v>
      </c>
      <c r="C29" s="91">
        <v>68</v>
      </c>
      <c r="D29" s="92">
        <v>46750.980392</v>
      </c>
      <c r="E29" s="89">
        <v>12</v>
      </c>
      <c r="F29" s="93">
        <f>C29*D29*E29-121000</f>
        <v>38027799.999872</v>
      </c>
      <c r="G29" s="94"/>
      <c r="H29" s="94">
        <f>F29+G29</f>
        <v>38027799.999872</v>
      </c>
    </row>
    <row r="30" spans="1:8" ht="16.5" customHeight="1">
      <c r="A30" s="89">
        <v>4</v>
      </c>
      <c r="B30" s="90" t="s">
        <v>117</v>
      </c>
      <c r="C30" s="147">
        <v>57</v>
      </c>
      <c r="D30" s="92">
        <v>39439.4736842</v>
      </c>
      <c r="E30" s="89">
        <v>12</v>
      </c>
      <c r="F30" s="93">
        <f>C30*D30*E30-3500000-73500-150000</f>
        <v>23253099.999992795</v>
      </c>
      <c r="G30" s="94">
        <v>3500000</v>
      </c>
      <c r="H30" s="94">
        <f>F30+G30</f>
        <v>26753099.999992795</v>
      </c>
    </row>
    <row r="31" spans="1:8" ht="16.5" customHeight="1">
      <c r="A31" s="337" t="s">
        <v>118</v>
      </c>
      <c r="B31" s="337"/>
      <c r="C31" s="96">
        <f>SUM(C27:C30)</f>
        <v>152</v>
      </c>
      <c r="D31" s="96" t="s">
        <v>16</v>
      </c>
      <c r="E31" s="96" t="s">
        <v>119</v>
      </c>
      <c r="F31" s="97">
        <f>SUM(F27:F30)</f>
        <v>78616800.00305879</v>
      </c>
      <c r="G31" s="97">
        <f>SUM(G27:G30)</f>
        <v>3500000</v>
      </c>
      <c r="H31" s="97">
        <f>SUM(H27:H30)</f>
        <v>82116800.00305879</v>
      </c>
    </row>
    <row r="32" ht="15" hidden="1">
      <c r="A32" s="98"/>
    </row>
    <row r="33" ht="15">
      <c r="A33" s="98"/>
    </row>
    <row r="34" spans="1:8" ht="25.5" customHeight="1">
      <c r="A34" s="323" t="s">
        <v>120</v>
      </c>
      <c r="B34" s="323"/>
      <c r="C34" s="323"/>
      <c r="D34" s="323"/>
      <c r="E34" s="323"/>
      <c r="F34" s="323"/>
      <c r="G34" s="323"/>
      <c r="H34" s="323"/>
    </row>
    <row r="35" spans="1:8" ht="18.75" customHeight="1">
      <c r="A35" s="307" t="s">
        <v>121</v>
      </c>
      <c r="B35" s="307"/>
      <c r="C35" s="307"/>
      <c r="D35" s="307"/>
      <c r="E35" s="307"/>
      <c r="F35" s="307"/>
      <c r="G35" s="307"/>
      <c r="H35" s="307"/>
    </row>
    <row r="36" spans="1:3" ht="15">
      <c r="A36" s="99"/>
      <c r="B36" s="99"/>
      <c r="C36" s="99"/>
    </row>
    <row r="37" spans="1:8" ht="15" customHeight="1">
      <c r="A37" s="301" t="s">
        <v>104</v>
      </c>
      <c r="B37" s="301" t="s">
        <v>2</v>
      </c>
      <c r="C37" s="301"/>
      <c r="D37" s="301" t="s">
        <v>106</v>
      </c>
      <c r="E37" s="301"/>
      <c r="F37" s="301"/>
      <c r="G37" s="301"/>
      <c r="H37" s="302" t="s">
        <v>107</v>
      </c>
    </row>
    <row r="38" spans="1:20" ht="48" customHeight="1">
      <c r="A38" s="301"/>
      <c r="B38" s="301"/>
      <c r="C38" s="301"/>
      <c r="D38" s="301" t="s">
        <v>108</v>
      </c>
      <c r="E38" s="301"/>
      <c r="F38" s="301"/>
      <c r="G38" s="85" t="s">
        <v>12</v>
      </c>
      <c r="H38" s="302"/>
      <c r="M38" s="323"/>
      <c r="N38" s="323"/>
      <c r="O38" s="323"/>
      <c r="P38" s="323"/>
      <c r="Q38" s="323"/>
      <c r="R38" s="323"/>
      <c r="S38" s="323"/>
      <c r="T38" s="323"/>
    </row>
    <row r="39" spans="1:20" ht="25.5">
      <c r="A39" s="301"/>
      <c r="B39" s="301"/>
      <c r="C39" s="301"/>
      <c r="D39" s="86" t="s">
        <v>122</v>
      </c>
      <c r="E39" s="86" t="s">
        <v>123</v>
      </c>
      <c r="F39" s="100" t="s">
        <v>112</v>
      </c>
      <c r="G39" s="100" t="s">
        <v>112</v>
      </c>
      <c r="H39" s="302"/>
      <c r="M39" s="307"/>
      <c r="N39" s="307"/>
      <c r="O39" s="307"/>
      <c r="P39" s="307"/>
      <c r="Q39" s="307"/>
      <c r="R39" s="307"/>
      <c r="S39" s="307"/>
      <c r="T39" s="307"/>
    </row>
    <row r="40" spans="1:20" ht="15" customHeight="1">
      <c r="A40" s="87">
        <v>1</v>
      </c>
      <c r="B40" s="329">
        <v>2</v>
      </c>
      <c r="C40" s="329"/>
      <c r="D40" s="87">
        <v>3</v>
      </c>
      <c r="E40" s="88">
        <v>4</v>
      </c>
      <c r="F40" s="88" t="s">
        <v>124</v>
      </c>
      <c r="G40" s="88">
        <v>6</v>
      </c>
      <c r="H40" s="88" t="s">
        <v>125</v>
      </c>
      <c r="M40" s="99"/>
      <c r="N40" s="99"/>
      <c r="O40" s="99"/>
      <c r="P40" s="101"/>
      <c r="Q40" s="101"/>
      <c r="R40" s="101"/>
      <c r="S40" s="101"/>
      <c r="T40" s="101"/>
    </row>
    <row r="41" spans="1:20" ht="27.75" customHeight="1">
      <c r="A41" s="87">
        <v>1</v>
      </c>
      <c r="B41" s="319" t="s">
        <v>126</v>
      </c>
      <c r="C41" s="319"/>
      <c r="D41" s="93">
        <v>2500</v>
      </c>
      <c r="E41" s="94">
        <f>F41/D41</f>
        <v>160</v>
      </c>
      <c r="F41" s="102">
        <v>400000</v>
      </c>
      <c r="G41" s="103">
        <v>0</v>
      </c>
      <c r="H41" s="104">
        <f>F41+G41</f>
        <v>400000</v>
      </c>
      <c r="M41" s="335"/>
      <c r="N41" s="335"/>
      <c r="O41" s="335"/>
      <c r="P41" s="335"/>
      <c r="Q41" s="335"/>
      <c r="R41" s="335"/>
      <c r="S41" s="335"/>
      <c r="T41" s="336"/>
    </row>
    <row r="42" spans="1:20" ht="18.75" customHeight="1">
      <c r="A42" s="296" t="s">
        <v>118</v>
      </c>
      <c r="B42" s="296"/>
      <c r="C42" s="296"/>
      <c r="D42" s="105" t="s">
        <v>16</v>
      </c>
      <c r="E42" s="105" t="s">
        <v>119</v>
      </c>
      <c r="F42" s="97">
        <f>SUM(F41)</f>
        <v>400000</v>
      </c>
      <c r="G42" s="97">
        <f>SUM(G41)</f>
        <v>0</v>
      </c>
      <c r="H42" s="97">
        <f>SUM(H41)</f>
        <v>400000</v>
      </c>
      <c r="M42" s="335"/>
      <c r="N42" s="335"/>
      <c r="O42" s="335"/>
      <c r="P42" s="335"/>
      <c r="Q42" s="335"/>
      <c r="R42" s="335"/>
      <c r="S42" s="106"/>
      <c r="T42" s="336"/>
    </row>
    <row r="43" spans="1:20" ht="15">
      <c r="A43" s="98"/>
      <c r="M43" s="335"/>
      <c r="N43" s="335"/>
      <c r="O43" s="335"/>
      <c r="P43" s="107"/>
      <c r="Q43" s="107"/>
      <c r="R43" s="108"/>
      <c r="S43" s="108"/>
      <c r="T43" s="336"/>
    </row>
    <row r="44" spans="1:8" ht="15.75" customHeight="1">
      <c r="A44" s="82" t="s">
        <v>127</v>
      </c>
      <c r="B44" s="109"/>
      <c r="C44" s="109">
        <v>111</v>
      </c>
      <c r="D44" s="109"/>
      <c r="E44" s="110"/>
      <c r="F44" s="111">
        <f>F31+F42</f>
        <v>79016800.00305879</v>
      </c>
      <c r="G44" s="111">
        <f>G31+G42</f>
        <v>3500000</v>
      </c>
      <c r="H44" s="111">
        <f>H31+H42</f>
        <v>82516800.00305879</v>
      </c>
    </row>
    <row r="45" spans="1:7" ht="8.25" customHeight="1">
      <c r="A45" s="112"/>
      <c r="B45" s="112"/>
      <c r="C45" s="113"/>
      <c r="D45" s="113"/>
      <c r="E45" s="113"/>
      <c r="F45" s="114"/>
      <c r="G45" s="115"/>
    </row>
    <row r="46" spans="1:8" ht="15.75" customHeight="1">
      <c r="A46" s="325" t="s">
        <v>128</v>
      </c>
      <c r="B46" s="325"/>
      <c r="C46" s="325"/>
      <c r="D46" s="325"/>
      <c r="E46" s="325"/>
      <c r="F46" s="325"/>
      <c r="G46" s="325"/>
      <c r="H46" s="325"/>
    </row>
    <row r="47" spans="1:256" s="77" customFormat="1" ht="10.5" customHeight="1">
      <c r="A47" s="81"/>
      <c r="B47" s="81"/>
      <c r="C47" s="81"/>
      <c r="D47" s="81"/>
      <c r="E47" s="81"/>
      <c r="IV47"/>
    </row>
    <row r="48" spans="1:8" ht="15.75" customHeight="1">
      <c r="A48" s="323" t="s">
        <v>129</v>
      </c>
      <c r="B48" s="323"/>
      <c r="C48" s="323"/>
      <c r="D48" s="323"/>
      <c r="E48" s="323"/>
      <c r="F48" s="323"/>
      <c r="G48" s="323"/>
      <c r="H48" s="323"/>
    </row>
    <row r="49" spans="1:8" ht="12" customHeight="1">
      <c r="A49" s="323"/>
      <c r="B49" s="323"/>
      <c r="C49" s="323"/>
      <c r="D49" s="323"/>
      <c r="E49" s="323"/>
      <c r="F49" s="323"/>
      <c r="G49" s="323"/>
      <c r="H49" s="323"/>
    </row>
    <row r="50" spans="1:8" s="83" customFormat="1" ht="18" customHeight="1">
      <c r="A50" s="307" t="s">
        <v>130</v>
      </c>
      <c r="B50" s="307"/>
      <c r="C50" s="307"/>
      <c r="D50" s="307"/>
      <c r="E50" s="307"/>
      <c r="F50" s="307"/>
      <c r="G50" s="307"/>
      <c r="H50" s="307"/>
    </row>
    <row r="51" spans="1:8" s="83" customFormat="1" ht="16.5" customHeight="1">
      <c r="A51" s="301" t="s">
        <v>104</v>
      </c>
      <c r="B51" s="329" t="s">
        <v>131</v>
      </c>
      <c r="C51" s="301" t="s">
        <v>106</v>
      </c>
      <c r="D51" s="301"/>
      <c r="E51" s="301"/>
      <c r="F51" s="301"/>
      <c r="G51" s="301"/>
      <c r="H51" s="302" t="s">
        <v>107</v>
      </c>
    </row>
    <row r="52" spans="1:8" ht="48" customHeight="1">
      <c r="A52" s="301"/>
      <c r="B52" s="329"/>
      <c r="C52" s="301" t="s">
        <v>108</v>
      </c>
      <c r="D52" s="301"/>
      <c r="E52" s="301"/>
      <c r="F52" s="301"/>
      <c r="G52" s="85" t="s">
        <v>12</v>
      </c>
      <c r="H52" s="302"/>
    </row>
    <row r="53" spans="1:8" s="84" customFormat="1" ht="49.5" customHeight="1">
      <c r="A53" s="301"/>
      <c r="B53" s="329"/>
      <c r="C53" s="329" t="s">
        <v>132</v>
      </c>
      <c r="D53" s="329"/>
      <c r="E53" s="86" t="s">
        <v>133</v>
      </c>
      <c r="F53" s="87" t="s">
        <v>134</v>
      </c>
      <c r="G53" s="100" t="s">
        <v>112</v>
      </c>
      <c r="H53" s="302"/>
    </row>
    <row r="54" spans="1:8" ht="15" customHeight="1">
      <c r="A54" s="86">
        <v>1</v>
      </c>
      <c r="B54" s="86">
        <v>2</v>
      </c>
      <c r="C54" s="334">
        <v>3</v>
      </c>
      <c r="D54" s="334"/>
      <c r="E54" s="86">
        <v>4</v>
      </c>
      <c r="F54" s="86" t="s">
        <v>135</v>
      </c>
      <c r="G54" s="86">
        <v>6</v>
      </c>
      <c r="H54" s="86" t="s">
        <v>125</v>
      </c>
    </row>
    <row r="55" spans="1:8" ht="17.25" customHeight="1">
      <c r="A55" s="116">
        <v>1</v>
      </c>
      <c r="B55" s="304" t="s">
        <v>136</v>
      </c>
      <c r="C55" s="304"/>
      <c r="D55" s="304"/>
      <c r="E55" s="304"/>
      <c r="F55" s="117">
        <f>SUM(F57:F60)</f>
        <v>17383700.000672936</v>
      </c>
      <c r="G55" s="117">
        <f>SUM(G57:G60)</f>
        <v>794900</v>
      </c>
      <c r="H55" s="117">
        <f>F55+G55</f>
        <v>18178600.000672936</v>
      </c>
    </row>
    <row r="56" spans="1:8" ht="15" customHeight="1">
      <c r="A56" s="118"/>
      <c r="B56" s="303" t="s">
        <v>8</v>
      </c>
      <c r="C56" s="303"/>
      <c r="D56" s="303"/>
      <c r="E56" s="303"/>
      <c r="F56" s="119"/>
      <c r="G56" s="120"/>
      <c r="H56" s="120"/>
    </row>
    <row r="57" spans="1:8" ht="15.75" customHeight="1">
      <c r="A57" s="118" t="s">
        <v>137</v>
      </c>
      <c r="B57" s="90" t="s">
        <v>114</v>
      </c>
      <c r="C57" s="333">
        <f>F27+14300</f>
        <v>4488100.0032</v>
      </c>
      <c r="D57" s="333"/>
      <c r="E57" s="121">
        <v>22</v>
      </c>
      <c r="F57" s="119">
        <f>C57*E57/100</f>
        <v>987382.000704</v>
      </c>
      <c r="G57" s="122"/>
      <c r="H57" s="122">
        <f>F57+G57</f>
        <v>987382.000704</v>
      </c>
    </row>
    <row r="58" spans="1:8" ht="15.75" customHeight="1">
      <c r="A58" s="118"/>
      <c r="B58" s="90" t="s">
        <v>115</v>
      </c>
      <c r="C58" s="333">
        <f>F28+41200</f>
        <v>12903299.999994002</v>
      </c>
      <c r="D58" s="333"/>
      <c r="E58" s="121">
        <v>22</v>
      </c>
      <c r="F58" s="119">
        <f>C58*E58/100</f>
        <v>2838725.9999986803</v>
      </c>
      <c r="G58" s="122">
        <f>G28*E58/100</f>
        <v>0</v>
      </c>
      <c r="H58" s="122">
        <f>F58+G58</f>
        <v>2838725.9999986803</v>
      </c>
    </row>
    <row r="59" spans="1:8" ht="15.75" customHeight="1">
      <c r="A59" s="118"/>
      <c r="B59" s="90" t="s">
        <v>116</v>
      </c>
      <c r="C59" s="333">
        <f>F29+121000</f>
        <v>38148799.999872</v>
      </c>
      <c r="D59" s="333"/>
      <c r="E59" s="121">
        <v>22</v>
      </c>
      <c r="F59" s="119">
        <f>C59*E59/100</f>
        <v>8392735.99997184</v>
      </c>
      <c r="G59" s="122">
        <f>G29*E59/100</f>
        <v>0</v>
      </c>
      <c r="H59" s="122">
        <f>F59+G59</f>
        <v>8392735.99997184</v>
      </c>
    </row>
    <row r="60" spans="1:8" ht="15.75" customHeight="1">
      <c r="A60" s="118"/>
      <c r="B60" s="90" t="s">
        <v>117</v>
      </c>
      <c r="C60" s="333">
        <f>F30+73500+150000</f>
        <v>23476599.999992795</v>
      </c>
      <c r="D60" s="333"/>
      <c r="E60" s="121">
        <v>22</v>
      </c>
      <c r="F60" s="119">
        <f>C60*E60/100+4</f>
        <v>5164855.999998415</v>
      </c>
      <c r="G60" s="122">
        <f>(G30+G117)*E60/100+2900-33000</f>
        <v>794900</v>
      </c>
      <c r="H60" s="122">
        <f>F60+G60</f>
        <v>5959755.999998415</v>
      </c>
    </row>
    <row r="61" spans="1:8" ht="33" customHeight="1">
      <c r="A61" s="116">
        <v>2</v>
      </c>
      <c r="B61" s="304" t="s">
        <v>138</v>
      </c>
      <c r="C61" s="304"/>
      <c r="D61" s="304"/>
      <c r="E61" s="304"/>
      <c r="F61" s="117">
        <f>F63+F68</f>
        <v>2449450.0000948226</v>
      </c>
      <c r="G61" s="117">
        <f>G63+G68</f>
        <v>111600</v>
      </c>
      <c r="H61" s="117">
        <f>F61+G61</f>
        <v>2561050.0000948226</v>
      </c>
    </row>
    <row r="62" spans="1:8" ht="15" customHeight="1">
      <c r="A62" s="118"/>
      <c r="B62" s="303" t="s">
        <v>8</v>
      </c>
      <c r="C62" s="303"/>
      <c r="D62" s="303"/>
      <c r="E62" s="303"/>
      <c r="F62" s="119"/>
      <c r="G62" s="120"/>
      <c r="H62" s="120"/>
    </row>
    <row r="63" spans="1:8" ht="33.75" customHeight="1">
      <c r="A63" s="118" t="s">
        <v>139</v>
      </c>
      <c r="B63" s="303" t="s">
        <v>140</v>
      </c>
      <c r="C63" s="303"/>
      <c r="D63" s="303"/>
      <c r="E63" s="303"/>
      <c r="F63" s="119">
        <f>SUM(F64:F67)</f>
        <v>2291450.000088705</v>
      </c>
      <c r="G63" s="119">
        <f>SUM(G64:G67)</f>
        <v>104400</v>
      </c>
      <c r="H63" s="119">
        <f>SUM(H64:H67)</f>
        <v>2395850.000088705</v>
      </c>
    </row>
    <row r="64" spans="1:8" ht="15" customHeight="1">
      <c r="A64" s="118"/>
      <c r="B64" s="90" t="s">
        <v>114</v>
      </c>
      <c r="C64" s="333">
        <f>F27+14300</f>
        <v>4488100.0032</v>
      </c>
      <c r="D64" s="333"/>
      <c r="E64" s="91">
        <v>2.9</v>
      </c>
      <c r="F64" s="119">
        <f>C64*E64/100</f>
        <v>130154.9000928</v>
      </c>
      <c r="G64" s="122">
        <f>G27*E64/100</f>
        <v>0</v>
      </c>
      <c r="H64" s="122">
        <f>F64+G64</f>
        <v>130154.9000928</v>
      </c>
    </row>
    <row r="65" spans="1:8" ht="15" customHeight="1">
      <c r="A65" s="118"/>
      <c r="B65" s="90" t="s">
        <v>115</v>
      </c>
      <c r="C65" s="333">
        <f>F28+41200</f>
        <v>12903299.999994002</v>
      </c>
      <c r="D65" s="333"/>
      <c r="E65" s="91">
        <v>2.9</v>
      </c>
      <c r="F65" s="119">
        <f>C65*E65/100</f>
        <v>374195.699999826</v>
      </c>
      <c r="G65" s="122">
        <f>G28*E65/100</f>
        <v>0</v>
      </c>
      <c r="H65" s="122">
        <f>F65+G65</f>
        <v>374195.699999826</v>
      </c>
    </row>
    <row r="66" spans="1:8" ht="15" customHeight="1">
      <c r="A66" s="118"/>
      <c r="B66" s="90" t="s">
        <v>116</v>
      </c>
      <c r="C66" s="333">
        <f>F29+121000</f>
        <v>38148799.999872</v>
      </c>
      <c r="D66" s="333"/>
      <c r="E66" s="91">
        <v>2.9</v>
      </c>
      <c r="F66" s="119">
        <f>C66*E66/100</f>
        <v>1106315.199996288</v>
      </c>
      <c r="G66" s="122">
        <f>G29*E66/100</f>
        <v>0</v>
      </c>
      <c r="H66" s="122">
        <f>F66+G66</f>
        <v>1106315.199996288</v>
      </c>
    </row>
    <row r="67" spans="1:8" ht="15" customHeight="1">
      <c r="A67" s="118"/>
      <c r="B67" s="90" t="s">
        <v>117</v>
      </c>
      <c r="C67" s="333">
        <f>F30+73500+150000</f>
        <v>23476599.999992795</v>
      </c>
      <c r="D67" s="333"/>
      <c r="E67" s="91">
        <v>2.9</v>
      </c>
      <c r="F67" s="119">
        <f>C67*E67/100-37.2</f>
        <v>680784.1999997911</v>
      </c>
      <c r="G67" s="122">
        <f>(G30+G117)*E67/100-4350</f>
        <v>104400</v>
      </c>
      <c r="H67" s="122">
        <f>F67+G67</f>
        <v>785184.1999997911</v>
      </c>
    </row>
    <row r="68" spans="1:8" ht="34.5" customHeight="1">
      <c r="A68" s="118" t="s">
        <v>141</v>
      </c>
      <c r="B68" s="303" t="s">
        <v>142</v>
      </c>
      <c r="C68" s="303"/>
      <c r="D68" s="303"/>
      <c r="E68" s="303"/>
      <c r="F68" s="119">
        <f>SUM(F69:F72)</f>
        <v>158000.0000061176</v>
      </c>
      <c r="G68" s="119">
        <f>SUM(G69:G72)</f>
        <v>7200</v>
      </c>
      <c r="H68" s="119">
        <f>SUM(H69:H72)</f>
        <v>165200.0000061176</v>
      </c>
    </row>
    <row r="69" spans="1:8" ht="18" customHeight="1">
      <c r="A69" s="118"/>
      <c r="B69" s="90" t="s">
        <v>114</v>
      </c>
      <c r="C69" s="333">
        <f>F27+14300</f>
        <v>4488100.0032</v>
      </c>
      <c r="D69" s="333"/>
      <c r="E69" s="91">
        <v>0.2</v>
      </c>
      <c r="F69" s="119">
        <f>C69*E69/100</f>
        <v>8976.2000064</v>
      </c>
      <c r="G69" s="123">
        <f>G27*E69/100</f>
        <v>0</v>
      </c>
      <c r="H69" s="122">
        <f aca="true" t="shared" si="0" ref="H69:H77">F69+G69</f>
        <v>8976.2000064</v>
      </c>
    </row>
    <row r="70" spans="1:8" ht="15" customHeight="1">
      <c r="A70" s="118"/>
      <c r="B70" s="90" t="s">
        <v>115</v>
      </c>
      <c r="C70" s="333">
        <f>F28+41200</f>
        <v>12903299.999994002</v>
      </c>
      <c r="D70" s="333"/>
      <c r="E70" s="91">
        <v>0.2</v>
      </c>
      <c r="F70" s="119">
        <f>C70*E70/100</f>
        <v>25806.599999988004</v>
      </c>
      <c r="G70" s="123">
        <f>G28*E70/100</f>
        <v>0</v>
      </c>
      <c r="H70" s="122">
        <f t="shared" si="0"/>
        <v>25806.599999988004</v>
      </c>
    </row>
    <row r="71" spans="1:8" ht="14.25" customHeight="1">
      <c r="A71" s="118"/>
      <c r="B71" s="90" t="s">
        <v>116</v>
      </c>
      <c r="C71" s="333">
        <f>F29+121000</f>
        <v>38148799.999872</v>
      </c>
      <c r="D71" s="333"/>
      <c r="E71" s="91">
        <v>0.2</v>
      </c>
      <c r="F71" s="119">
        <f>C71*E71/100</f>
        <v>76297.599999744</v>
      </c>
      <c r="G71" s="123">
        <f>G29*E71/100</f>
        <v>0</v>
      </c>
      <c r="H71" s="122">
        <f t="shared" si="0"/>
        <v>76297.599999744</v>
      </c>
    </row>
    <row r="72" spans="1:8" ht="14.25" customHeight="1">
      <c r="A72" s="118"/>
      <c r="B72" s="90" t="s">
        <v>117</v>
      </c>
      <c r="C72" s="333">
        <f>F30+73500+150000</f>
        <v>23476599.999992795</v>
      </c>
      <c r="D72" s="333"/>
      <c r="E72" s="91">
        <v>0.2</v>
      </c>
      <c r="F72" s="119">
        <f>C72*E72/100-33.6</f>
        <v>46919.59999998559</v>
      </c>
      <c r="G72" s="123">
        <f>(G30+G117)*E72/100-300</f>
        <v>7200</v>
      </c>
      <c r="H72" s="122">
        <f t="shared" si="0"/>
        <v>54119.59999998559</v>
      </c>
    </row>
    <row r="73" spans="1:8" ht="36" customHeight="1">
      <c r="A73" s="116">
        <v>3</v>
      </c>
      <c r="B73" s="304" t="s">
        <v>143</v>
      </c>
      <c r="C73" s="304"/>
      <c r="D73" s="304"/>
      <c r="E73" s="304"/>
      <c r="F73" s="117">
        <f>SUM(F74:F77)</f>
        <v>4029850.000155998</v>
      </c>
      <c r="G73" s="117">
        <f>SUM(G74:G77)</f>
        <v>183600</v>
      </c>
      <c r="H73" s="117">
        <f t="shared" si="0"/>
        <v>4213450.000155998</v>
      </c>
    </row>
    <row r="74" spans="1:8" ht="15.75" customHeight="1">
      <c r="A74" s="118"/>
      <c r="B74" s="90" t="s">
        <v>114</v>
      </c>
      <c r="C74" s="333">
        <f>F27+14300</f>
        <v>4488100.0032</v>
      </c>
      <c r="D74" s="333"/>
      <c r="E74" s="91">
        <v>5.1</v>
      </c>
      <c r="F74" s="119">
        <f>C74*E74/100</f>
        <v>228893.10016319997</v>
      </c>
      <c r="G74" s="122">
        <f>G27*E74/100</f>
        <v>0</v>
      </c>
      <c r="H74" s="124">
        <f t="shared" si="0"/>
        <v>228893.10016319997</v>
      </c>
    </row>
    <row r="75" spans="1:8" ht="15.75" customHeight="1">
      <c r="A75" s="118"/>
      <c r="B75" s="90" t="s">
        <v>115</v>
      </c>
      <c r="C75" s="333">
        <f>F28+41200</f>
        <v>12903299.999994002</v>
      </c>
      <c r="D75" s="333"/>
      <c r="E75" s="91">
        <v>5.1</v>
      </c>
      <c r="F75" s="119">
        <f>C75*E75/100</f>
        <v>658068.2999996941</v>
      </c>
      <c r="G75" s="122">
        <f>G28*E75/100</f>
        <v>0</v>
      </c>
      <c r="H75" s="124">
        <f t="shared" si="0"/>
        <v>658068.2999996941</v>
      </c>
    </row>
    <row r="76" spans="1:8" ht="15" customHeight="1">
      <c r="A76" s="118"/>
      <c r="B76" s="90" t="s">
        <v>116</v>
      </c>
      <c r="C76" s="333">
        <f>F29+121000</f>
        <v>38148799.999872</v>
      </c>
      <c r="D76" s="333"/>
      <c r="E76" s="91">
        <v>5.1</v>
      </c>
      <c r="F76" s="119">
        <f>C76*E76/100</f>
        <v>1945588.7999934717</v>
      </c>
      <c r="G76" s="122">
        <f>G29*E76/100</f>
        <v>0</v>
      </c>
      <c r="H76" s="124">
        <f t="shared" si="0"/>
        <v>1945588.7999934717</v>
      </c>
    </row>
    <row r="77" spans="1:8" ht="15" customHeight="1">
      <c r="A77" s="118"/>
      <c r="B77" s="90" t="s">
        <v>117</v>
      </c>
      <c r="C77" s="333">
        <f>F30+73500+150000</f>
        <v>23476599.999992795</v>
      </c>
      <c r="D77" s="333"/>
      <c r="E77" s="91">
        <v>5.1</v>
      </c>
      <c r="F77" s="119">
        <f>C77*E77/100-6.8</f>
        <v>1197299.7999996324</v>
      </c>
      <c r="G77" s="122">
        <f>(G30+G117)*E77/100-7650</f>
        <v>183600</v>
      </c>
      <c r="H77" s="124">
        <f t="shared" si="0"/>
        <v>1380899.7999996324</v>
      </c>
    </row>
    <row r="78" spans="1:8" ht="15.75" customHeight="1">
      <c r="A78" s="116"/>
      <c r="B78" s="125" t="s">
        <v>118</v>
      </c>
      <c r="C78" s="333">
        <f>F31</f>
        <v>78616800.00305879</v>
      </c>
      <c r="D78" s="333"/>
      <c r="E78" s="117"/>
      <c r="F78" s="117">
        <f>F55+F61+F73</f>
        <v>23863000.000923757</v>
      </c>
      <c r="G78" s="117">
        <f>G55+G61+G73</f>
        <v>1090100</v>
      </c>
      <c r="H78" s="117">
        <f>H55+H61+H73</f>
        <v>24953100.00092376</v>
      </c>
    </row>
    <row r="79" ht="15">
      <c r="A79" s="98"/>
    </row>
    <row r="80" spans="1:8" ht="15.75" customHeight="1">
      <c r="A80" s="126" t="s">
        <v>127</v>
      </c>
      <c r="B80" s="126"/>
      <c r="C80" s="126">
        <v>119</v>
      </c>
      <c r="D80" s="109"/>
      <c r="E80" s="110"/>
      <c r="F80" s="127">
        <f>F78</f>
        <v>23863000.000923757</v>
      </c>
      <c r="G80" s="127">
        <f>G78</f>
        <v>1090100</v>
      </c>
      <c r="H80" s="127">
        <f>H78</f>
        <v>24953100.00092376</v>
      </c>
    </row>
    <row r="81" ht="15">
      <c r="A81" s="98"/>
    </row>
    <row r="82" spans="1:8" ht="51" customHeight="1">
      <c r="A82" s="323" t="s">
        <v>144</v>
      </c>
      <c r="B82" s="323"/>
      <c r="C82" s="323"/>
      <c r="D82" s="323"/>
      <c r="E82" s="323"/>
      <c r="F82" s="323"/>
      <c r="G82" s="323"/>
      <c r="H82" s="323"/>
    </row>
    <row r="83" spans="1:8" ht="16.5" customHeight="1">
      <c r="A83" s="317"/>
      <c r="B83" s="317"/>
      <c r="C83" s="317"/>
      <c r="D83" s="317"/>
      <c r="E83" s="317"/>
      <c r="F83" s="317"/>
      <c r="G83" s="317"/>
      <c r="H83" s="317"/>
    </row>
    <row r="84" spans="1:8" ht="15.75" customHeight="1">
      <c r="A84" s="325" t="s">
        <v>145</v>
      </c>
      <c r="B84" s="325"/>
      <c r="C84" s="325"/>
      <c r="D84" s="325"/>
      <c r="E84" s="325"/>
      <c r="F84" s="325"/>
      <c r="G84" s="325"/>
      <c r="H84" s="325"/>
    </row>
    <row r="85" spans="1:8" ht="13.5" customHeight="1">
      <c r="A85" s="346"/>
      <c r="B85" s="346"/>
      <c r="C85" s="346"/>
      <c r="D85" s="346"/>
      <c r="E85" s="346"/>
      <c r="F85" s="346"/>
      <c r="G85" s="346"/>
      <c r="H85" s="346"/>
    </row>
    <row r="86" spans="1:8" s="83" customFormat="1" ht="20.25" customHeight="1">
      <c r="A86" s="307" t="s">
        <v>146</v>
      </c>
      <c r="B86" s="307"/>
      <c r="C86" s="307"/>
      <c r="D86" s="307"/>
      <c r="E86" s="307"/>
      <c r="F86" s="307"/>
      <c r="G86" s="307"/>
      <c r="H86" s="307"/>
    </row>
    <row r="87" spans="1:8" ht="15.75" customHeight="1">
      <c r="A87" s="301" t="s">
        <v>104</v>
      </c>
      <c r="B87" s="301" t="s">
        <v>2</v>
      </c>
      <c r="C87" s="301" t="s">
        <v>106</v>
      </c>
      <c r="D87" s="301"/>
      <c r="E87" s="301"/>
      <c r="F87" s="301"/>
      <c r="G87" s="301"/>
      <c r="H87" s="302" t="s">
        <v>107</v>
      </c>
    </row>
    <row r="88" spans="1:8" ht="51.75" customHeight="1">
      <c r="A88" s="301"/>
      <c r="B88" s="301"/>
      <c r="C88" s="301" t="s">
        <v>108</v>
      </c>
      <c r="D88" s="301"/>
      <c r="E88" s="301"/>
      <c r="F88" s="301"/>
      <c r="G88" s="85" t="s">
        <v>12</v>
      </c>
      <c r="H88" s="302"/>
    </row>
    <row r="89" spans="1:8" ht="30" customHeight="1">
      <c r="A89" s="301"/>
      <c r="B89" s="301"/>
      <c r="C89" s="329" t="s">
        <v>147</v>
      </c>
      <c r="D89" s="329"/>
      <c r="E89" s="87" t="s">
        <v>123</v>
      </c>
      <c r="F89" s="129" t="s">
        <v>148</v>
      </c>
      <c r="G89" s="100" t="s">
        <v>112</v>
      </c>
      <c r="H89" s="302"/>
    </row>
    <row r="90" spans="1:8" ht="15" customHeight="1">
      <c r="A90" s="87">
        <v>1</v>
      </c>
      <c r="B90" s="87">
        <v>2</v>
      </c>
      <c r="C90" s="329">
        <v>3</v>
      </c>
      <c r="D90" s="329"/>
      <c r="E90" s="88">
        <v>4</v>
      </c>
      <c r="F90" s="88" t="s">
        <v>124</v>
      </c>
      <c r="G90" s="88">
        <v>6</v>
      </c>
      <c r="H90" s="88" t="s">
        <v>125</v>
      </c>
    </row>
    <row r="91" spans="1:8" ht="55.5" customHeight="1">
      <c r="A91" s="87">
        <v>1</v>
      </c>
      <c r="B91" s="130" t="s">
        <v>149</v>
      </c>
      <c r="C91" s="330"/>
      <c r="D91" s="330"/>
      <c r="E91" s="131"/>
      <c r="F91" s="93"/>
      <c r="G91" s="104">
        <v>0</v>
      </c>
      <c r="H91" s="104">
        <f>F91+G91</f>
        <v>0</v>
      </c>
    </row>
    <row r="92" spans="1:8" ht="14.25" customHeight="1">
      <c r="A92" s="331" t="s">
        <v>118</v>
      </c>
      <c r="B92" s="331"/>
      <c r="C92" s="332" t="s">
        <v>119</v>
      </c>
      <c r="D92" s="332"/>
      <c r="E92" s="96" t="s">
        <v>119</v>
      </c>
      <c r="F92" s="97">
        <f>SUM(F91)</f>
        <v>0</v>
      </c>
      <c r="G92" s="97">
        <f>SUM(G91)</f>
        <v>0</v>
      </c>
      <c r="H92" s="97">
        <f>SUM(H91)</f>
        <v>0</v>
      </c>
    </row>
    <row r="93" ht="15">
      <c r="A93" s="98"/>
    </row>
    <row r="94" spans="1:8" ht="18.75">
      <c r="A94" s="307" t="s">
        <v>150</v>
      </c>
      <c r="B94" s="307"/>
      <c r="C94" s="307"/>
      <c r="D94" s="307"/>
      <c r="E94" s="307"/>
      <c r="F94" s="307"/>
      <c r="G94" s="307"/>
      <c r="H94" s="307"/>
    </row>
    <row r="95" spans="1:8" ht="15">
      <c r="A95" s="301" t="s">
        <v>104</v>
      </c>
      <c r="B95" s="301" t="s">
        <v>2</v>
      </c>
      <c r="C95" s="301" t="s">
        <v>106</v>
      </c>
      <c r="D95" s="301"/>
      <c r="E95" s="301"/>
      <c r="F95" s="301"/>
      <c r="G95" s="301"/>
      <c r="H95" s="302" t="s">
        <v>107</v>
      </c>
    </row>
    <row r="96" spans="1:8" ht="63.75">
      <c r="A96" s="301"/>
      <c r="B96" s="301"/>
      <c r="C96" s="301" t="s">
        <v>108</v>
      </c>
      <c r="D96" s="301"/>
      <c r="E96" s="301"/>
      <c r="F96" s="301"/>
      <c r="G96" s="132" t="s">
        <v>12</v>
      </c>
      <c r="H96" s="302"/>
    </row>
    <row r="97" spans="1:8" ht="30" customHeight="1">
      <c r="A97" s="301"/>
      <c r="B97" s="301"/>
      <c r="C97" s="329" t="s">
        <v>147</v>
      </c>
      <c r="D97" s="329"/>
      <c r="E97" s="87" t="s">
        <v>123</v>
      </c>
      <c r="F97" s="129" t="s">
        <v>148</v>
      </c>
      <c r="G97" s="100" t="s">
        <v>112</v>
      </c>
      <c r="H97" s="302"/>
    </row>
    <row r="98" spans="1:8" ht="15">
      <c r="A98" s="87">
        <v>1</v>
      </c>
      <c r="B98" s="87">
        <v>2</v>
      </c>
      <c r="C98" s="329">
        <v>3</v>
      </c>
      <c r="D98" s="329"/>
      <c r="E98" s="88">
        <v>4</v>
      </c>
      <c r="F98" s="88" t="s">
        <v>124</v>
      </c>
      <c r="G98" s="88">
        <v>6</v>
      </c>
      <c r="H98" s="88" t="s">
        <v>125</v>
      </c>
    </row>
    <row r="99" spans="1:8" ht="30">
      <c r="A99" s="87">
        <v>1</v>
      </c>
      <c r="B99" s="90" t="s">
        <v>151</v>
      </c>
      <c r="C99" s="330"/>
      <c r="D99" s="330"/>
      <c r="E99" s="131"/>
      <c r="F99" s="93">
        <f>C99*E99</f>
        <v>0</v>
      </c>
      <c r="G99" s="133">
        <f>10000+14000</f>
        <v>24000</v>
      </c>
      <c r="H99" s="133">
        <f>F99+G99</f>
        <v>24000</v>
      </c>
    </row>
    <row r="100" spans="1:8" ht="18.75" customHeight="1">
      <c r="A100" s="331" t="s">
        <v>118</v>
      </c>
      <c r="B100" s="331"/>
      <c r="C100" s="332" t="s">
        <v>119</v>
      </c>
      <c r="D100" s="332"/>
      <c r="E100" s="96" t="s">
        <v>119</v>
      </c>
      <c r="F100" s="97">
        <f>SUM(F99)</f>
        <v>0</v>
      </c>
      <c r="G100" s="97">
        <f>SUM(G99)</f>
        <v>24000</v>
      </c>
      <c r="H100" s="97">
        <f>SUM(H99)</f>
        <v>24000</v>
      </c>
    </row>
    <row r="101" ht="15">
      <c r="A101" s="98"/>
    </row>
    <row r="102" spans="1:8" ht="18.75">
      <c r="A102" s="307" t="s">
        <v>152</v>
      </c>
      <c r="B102" s="307"/>
      <c r="C102" s="307"/>
      <c r="D102" s="307"/>
      <c r="E102" s="307"/>
      <c r="F102" s="307"/>
      <c r="G102" s="307"/>
      <c r="H102" s="307"/>
    </row>
    <row r="103" spans="1:8" ht="15">
      <c r="A103" s="301" t="s">
        <v>104</v>
      </c>
      <c r="B103" s="301" t="s">
        <v>2</v>
      </c>
      <c r="C103" s="301" t="s">
        <v>106</v>
      </c>
      <c r="D103" s="301"/>
      <c r="E103" s="301"/>
      <c r="F103" s="301"/>
      <c r="G103" s="301"/>
      <c r="H103" s="302" t="s">
        <v>107</v>
      </c>
    </row>
    <row r="104" spans="1:8" ht="48">
      <c r="A104" s="301"/>
      <c r="B104" s="301"/>
      <c r="C104" s="301" t="s">
        <v>108</v>
      </c>
      <c r="D104" s="301"/>
      <c r="E104" s="301"/>
      <c r="F104" s="301"/>
      <c r="G104" s="85" t="s">
        <v>12</v>
      </c>
      <c r="H104" s="302"/>
    </row>
    <row r="105" spans="1:8" ht="30" customHeight="1">
      <c r="A105" s="301"/>
      <c r="B105" s="301"/>
      <c r="C105" s="329" t="s">
        <v>147</v>
      </c>
      <c r="D105" s="329"/>
      <c r="E105" s="87" t="s">
        <v>123</v>
      </c>
      <c r="F105" s="129" t="s">
        <v>148</v>
      </c>
      <c r="G105" s="100" t="s">
        <v>112</v>
      </c>
      <c r="H105" s="302"/>
    </row>
    <row r="106" spans="1:8" ht="15">
      <c r="A106" s="87">
        <v>1</v>
      </c>
      <c r="B106" s="87">
        <v>2</v>
      </c>
      <c r="C106" s="329">
        <v>3</v>
      </c>
      <c r="D106" s="329"/>
      <c r="E106" s="88">
        <v>4</v>
      </c>
      <c r="F106" s="88" t="s">
        <v>124</v>
      </c>
      <c r="G106" s="88">
        <v>6</v>
      </c>
      <c r="H106" s="88" t="s">
        <v>125</v>
      </c>
    </row>
    <row r="107" spans="1:8" ht="45">
      <c r="A107" s="87">
        <v>1</v>
      </c>
      <c r="B107" s="90" t="s">
        <v>153</v>
      </c>
      <c r="C107" s="330">
        <v>0</v>
      </c>
      <c r="D107" s="330"/>
      <c r="E107" s="131">
        <v>0</v>
      </c>
      <c r="F107" s="93">
        <f>C107*E107</f>
        <v>0</v>
      </c>
      <c r="G107" s="133">
        <v>200000</v>
      </c>
      <c r="H107" s="133">
        <f>F107+G107</f>
        <v>200000</v>
      </c>
    </row>
    <row r="108" spans="1:8" ht="18.75" customHeight="1">
      <c r="A108" s="331" t="s">
        <v>118</v>
      </c>
      <c r="B108" s="331"/>
      <c r="C108" s="332" t="s">
        <v>119</v>
      </c>
      <c r="D108" s="332"/>
      <c r="E108" s="96" t="s">
        <v>119</v>
      </c>
      <c r="F108" s="97">
        <f>SUM(F107)</f>
        <v>0</v>
      </c>
      <c r="G108" s="97">
        <f>SUM(G107)</f>
        <v>200000</v>
      </c>
      <c r="H108" s="97">
        <f>SUM(H107)</f>
        <v>200000</v>
      </c>
    </row>
    <row r="109" ht="15">
      <c r="A109" s="98"/>
    </row>
    <row r="110" ht="15">
      <c r="A110" s="98"/>
    </row>
    <row r="111" ht="15">
      <c r="A111" s="98"/>
    </row>
    <row r="112" spans="1:8" ht="18.75">
      <c r="A112" s="307" t="s">
        <v>154</v>
      </c>
      <c r="B112" s="307"/>
      <c r="C112" s="307"/>
      <c r="D112" s="307"/>
      <c r="E112" s="307"/>
      <c r="F112" s="307"/>
      <c r="G112" s="307"/>
      <c r="H112" s="307"/>
    </row>
    <row r="113" spans="1:8" ht="15">
      <c r="A113" s="301" t="s">
        <v>104</v>
      </c>
      <c r="B113" s="301" t="s">
        <v>2</v>
      </c>
      <c r="C113" s="301" t="s">
        <v>106</v>
      </c>
      <c r="D113" s="301"/>
      <c r="E113" s="301"/>
      <c r="F113" s="301"/>
      <c r="G113" s="301"/>
      <c r="H113" s="302" t="s">
        <v>107</v>
      </c>
    </row>
    <row r="114" spans="1:8" ht="48">
      <c r="A114" s="301"/>
      <c r="B114" s="301"/>
      <c r="C114" s="301" t="s">
        <v>108</v>
      </c>
      <c r="D114" s="301"/>
      <c r="E114" s="301"/>
      <c r="F114" s="301"/>
      <c r="G114" s="85" t="s">
        <v>12</v>
      </c>
      <c r="H114" s="302"/>
    </row>
    <row r="115" spans="1:8" ht="30" customHeight="1">
      <c r="A115" s="301"/>
      <c r="B115" s="301"/>
      <c r="C115" s="329" t="s">
        <v>147</v>
      </c>
      <c r="D115" s="329"/>
      <c r="E115" s="87" t="s">
        <v>123</v>
      </c>
      <c r="F115" s="129" t="s">
        <v>148</v>
      </c>
      <c r="G115" s="100" t="s">
        <v>112</v>
      </c>
      <c r="H115" s="302"/>
    </row>
    <row r="116" spans="1:8" ht="15">
      <c r="A116" s="87">
        <v>1</v>
      </c>
      <c r="B116" s="87">
        <v>2</v>
      </c>
      <c r="C116" s="329">
        <v>3</v>
      </c>
      <c r="D116" s="329"/>
      <c r="E116" s="88">
        <v>4</v>
      </c>
      <c r="F116" s="88" t="s">
        <v>124</v>
      </c>
      <c r="G116" s="88">
        <v>6</v>
      </c>
      <c r="H116" s="88" t="s">
        <v>125</v>
      </c>
    </row>
    <row r="117" spans="1:8" ht="28.5" customHeight="1">
      <c r="A117" s="87">
        <v>1</v>
      </c>
      <c r="B117" s="134" t="s">
        <v>155</v>
      </c>
      <c r="C117" s="329"/>
      <c r="D117" s="329"/>
      <c r="E117" s="88"/>
      <c r="F117" s="121">
        <v>0</v>
      </c>
      <c r="G117" s="121">
        <f>100000+150000</f>
        <v>250000</v>
      </c>
      <c r="H117" s="121">
        <f>F117+G117</f>
        <v>250000</v>
      </c>
    </row>
    <row r="118" spans="1:8" ht="15.75">
      <c r="A118" s="87">
        <v>2</v>
      </c>
      <c r="B118" s="135" t="s">
        <v>156</v>
      </c>
      <c r="C118" s="329"/>
      <c r="D118" s="329"/>
      <c r="E118" s="88"/>
      <c r="F118" s="121">
        <v>0</v>
      </c>
      <c r="G118" s="121">
        <f>10000+10000+36000</f>
        <v>56000</v>
      </c>
      <c r="H118" s="121">
        <f>F118+G118</f>
        <v>56000</v>
      </c>
    </row>
    <row r="119" spans="1:8" ht="18.75" customHeight="1">
      <c r="A119" s="87">
        <v>3</v>
      </c>
      <c r="B119" s="135" t="s">
        <v>157</v>
      </c>
      <c r="C119" s="330"/>
      <c r="D119" s="330"/>
      <c r="E119" s="131"/>
      <c r="F119" s="121">
        <f>C119*E119</f>
        <v>0</v>
      </c>
      <c r="G119" s="121">
        <f>10000+10000+50000</f>
        <v>70000</v>
      </c>
      <c r="H119" s="121">
        <f>F119+G119</f>
        <v>70000</v>
      </c>
    </row>
    <row r="120" spans="1:8" ht="18.75" customHeight="1">
      <c r="A120" s="331" t="s">
        <v>118</v>
      </c>
      <c r="B120" s="331"/>
      <c r="C120" s="332" t="s">
        <v>119</v>
      </c>
      <c r="D120" s="332"/>
      <c r="E120" s="96" t="s">
        <v>119</v>
      </c>
      <c r="F120" s="97">
        <f>SUM(F119)</f>
        <v>0</v>
      </c>
      <c r="G120" s="97">
        <f>SUM(G117:G119)</f>
        <v>376000</v>
      </c>
      <c r="H120" s="97">
        <f>SUM(H117:H119)</f>
        <v>376000</v>
      </c>
    </row>
    <row r="121" spans="1:8" ht="18.75">
      <c r="A121" s="186"/>
      <c r="B121" s="186"/>
      <c r="C121" s="187"/>
      <c r="D121" s="187"/>
      <c r="E121" s="187"/>
      <c r="F121" s="188"/>
      <c r="G121" s="188"/>
      <c r="H121" s="188"/>
    </row>
    <row r="122" spans="1:8" ht="15.75" customHeight="1">
      <c r="A122" s="82" t="s">
        <v>127</v>
      </c>
      <c r="B122" s="109"/>
      <c r="C122" s="109">
        <v>112</v>
      </c>
      <c r="D122" s="109"/>
      <c r="E122" s="110"/>
      <c r="F122" s="127">
        <f>F92+F100+F108+F120</f>
        <v>0</v>
      </c>
      <c r="G122" s="127">
        <f>G92+G100+G108+G120</f>
        <v>600000</v>
      </c>
      <c r="H122" s="127">
        <f>H92+H100+H108+H120</f>
        <v>600000</v>
      </c>
    </row>
    <row r="123" spans="1:8" ht="34.5" customHeight="1">
      <c r="A123" s="82"/>
      <c r="B123" s="109"/>
      <c r="C123" s="109"/>
      <c r="D123" s="109"/>
      <c r="E123" s="110"/>
      <c r="F123" s="110"/>
      <c r="G123" s="110"/>
      <c r="H123" s="110"/>
    </row>
    <row r="124" spans="1:8" ht="15" customHeight="1">
      <c r="A124" s="323" t="s">
        <v>158</v>
      </c>
      <c r="B124" s="323"/>
      <c r="C124" s="323"/>
      <c r="D124" s="323"/>
      <c r="E124" s="323"/>
      <c r="F124" s="323"/>
      <c r="G124" s="323"/>
      <c r="H124" s="323"/>
    </row>
    <row r="125" spans="1:8" ht="15.75" customHeight="1">
      <c r="A125" s="325" t="s">
        <v>159</v>
      </c>
      <c r="B125" s="325"/>
      <c r="C125" s="325"/>
      <c r="D125" s="325"/>
      <c r="E125" s="325"/>
      <c r="F125" s="325"/>
      <c r="G125" s="325"/>
      <c r="H125" s="325"/>
    </row>
    <row r="126" spans="1:8" ht="15.75">
      <c r="A126" s="328"/>
      <c r="B126" s="328"/>
      <c r="C126" s="328"/>
      <c r="D126" s="328"/>
      <c r="E126" s="328"/>
      <c r="F126" s="328"/>
      <c r="G126" s="328"/>
      <c r="H126" s="328"/>
    </row>
    <row r="127" spans="1:8" s="83" customFormat="1" ht="15" customHeight="1">
      <c r="A127" s="307" t="s">
        <v>160</v>
      </c>
      <c r="B127" s="307"/>
      <c r="C127" s="307"/>
      <c r="D127" s="307"/>
      <c r="E127" s="307"/>
      <c r="F127" s="307"/>
      <c r="G127" s="307"/>
      <c r="H127" s="307"/>
    </row>
    <row r="128" spans="1:8" s="83" customFormat="1" ht="16.5" customHeight="1">
      <c r="A128" s="301" t="s">
        <v>104</v>
      </c>
      <c r="B128" s="301" t="s">
        <v>161</v>
      </c>
      <c r="C128" s="301"/>
      <c r="D128" s="301" t="s">
        <v>106</v>
      </c>
      <c r="E128" s="301"/>
      <c r="F128" s="301"/>
      <c r="G128" s="301"/>
      <c r="H128" s="302" t="s">
        <v>107</v>
      </c>
    </row>
    <row r="129" spans="1:8" ht="48.75" customHeight="1">
      <c r="A129" s="301"/>
      <c r="B129" s="301"/>
      <c r="C129" s="301"/>
      <c r="D129" s="301" t="s">
        <v>108</v>
      </c>
      <c r="E129" s="301"/>
      <c r="F129" s="301"/>
      <c r="G129" s="132" t="s">
        <v>12</v>
      </c>
      <c r="H129" s="302"/>
    </row>
    <row r="130" spans="1:8" s="84" customFormat="1" ht="30.75" customHeight="1">
      <c r="A130" s="301"/>
      <c r="B130" s="301"/>
      <c r="C130" s="301"/>
      <c r="D130" s="87" t="s">
        <v>162</v>
      </c>
      <c r="E130" s="87" t="s">
        <v>163</v>
      </c>
      <c r="F130" s="87" t="s">
        <v>164</v>
      </c>
      <c r="G130" s="100" t="s">
        <v>112</v>
      </c>
      <c r="H130" s="302"/>
    </row>
    <row r="131" spans="1:8" ht="15.75" customHeight="1">
      <c r="A131" s="88">
        <v>1</v>
      </c>
      <c r="B131" s="326">
        <v>2</v>
      </c>
      <c r="C131" s="326"/>
      <c r="D131" s="88">
        <v>3</v>
      </c>
      <c r="E131" s="88">
        <v>4</v>
      </c>
      <c r="F131" s="88" t="s">
        <v>135</v>
      </c>
      <c r="G131" s="88">
        <v>6</v>
      </c>
      <c r="H131" s="88" t="s">
        <v>125</v>
      </c>
    </row>
    <row r="132" spans="1:8" ht="29.25" customHeight="1">
      <c r="A132" s="88" t="s">
        <v>165</v>
      </c>
      <c r="B132" s="327" t="s">
        <v>166</v>
      </c>
      <c r="C132" s="327"/>
      <c r="D132" s="129">
        <v>630000</v>
      </c>
      <c r="E132" s="129">
        <v>1</v>
      </c>
      <c r="F132" s="129"/>
      <c r="G132" s="129">
        <v>15000</v>
      </c>
      <c r="H132" s="129">
        <f>F132+G132</f>
        <v>15000</v>
      </c>
    </row>
    <row r="133" spans="1:8" ht="45.75" customHeight="1">
      <c r="A133" s="88" t="s">
        <v>167</v>
      </c>
      <c r="B133" s="327" t="s">
        <v>168</v>
      </c>
      <c r="C133" s="327"/>
      <c r="D133" s="129"/>
      <c r="E133" s="129"/>
      <c r="F133" s="129"/>
      <c r="G133" s="129">
        <f>40000+150000-90000</f>
        <v>100000</v>
      </c>
      <c r="H133" s="129">
        <f>F133+G133</f>
        <v>100000</v>
      </c>
    </row>
    <row r="134" spans="1:8" ht="33" customHeight="1">
      <c r="A134" s="88" t="s">
        <v>169</v>
      </c>
      <c r="B134" s="305" t="s">
        <v>170</v>
      </c>
      <c r="C134" s="305"/>
      <c r="D134" s="121">
        <v>1</v>
      </c>
      <c r="E134" s="121">
        <v>1</v>
      </c>
      <c r="F134" s="121"/>
      <c r="G134" s="136">
        <v>5000</v>
      </c>
      <c r="H134" s="129">
        <f>F134+G134</f>
        <v>5000</v>
      </c>
    </row>
    <row r="135" spans="1:8" ht="26.25" customHeight="1">
      <c r="A135" s="91" t="s">
        <v>171</v>
      </c>
      <c r="B135" s="305" t="s">
        <v>172</v>
      </c>
      <c r="C135" s="305"/>
      <c r="D135" s="121"/>
      <c r="E135" s="121"/>
      <c r="F135" s="121"/>
      <c r="G135" s="136">
        <f>85000-15000+90000</f>
        <v>160000</v>
      </c>
      <c r="H135" s="129">
        <f>F135+G135</f>
        <v>160000</v>
      </c>
    </row>
    <row r="136" spans="1:8" ht="18" customHeight="1">
      <c r="A136" s="296" t="s">
        <v>118</v>
      </c>
      <c r="B136" s="296"/>
      <c r="C136" s="296"/>
      <c r="D136" s="105"/>
      <c r="E136" s="105" t="s">
        <v>119</v>
      </c>
      <c r="F136" s="137">
        <f>F132</f>
        <v>0</v>
      </c>
      <c r="G136" s="137">
        <f>SUM(G132:G135)</f>
        <v>280000</v>
      </c>
      <c r="H136" s="137">
        <f>SUM(H132:H135)</f>
        <v>280000</v>
      </c>
    </row>
    <row r="137" spans="1:8" ht="15.75">
      <c r="A137" s="113"/>
      <c r="B137" s="138"/>
      <c r="C137" s="138"/>
      <c r="D137" s="113"/>
      <c r="E137" s="113"/>
      <c r="F137" s="139"/>
      <c r="G137" s="140"/>
      <c r="H137" s="140"/>
    </row>
    <row r="138" spans="1:8" ht="15.75" customHeight="1">
      <c r="A138" s="82" t="s">
        <v>127</v>
      </c>
      <c r="B138" s="109"/>
      <c r="C138" s="109" t="s">
        <v>173</v>
      </c>
      <c r="D138" s="109"/>
      <c r="E138" s="110"/>
      <c r="F138" s="127">
        <f>F136</f>
        <v>0</v>
      </c>
      <c r="G138" s="127">
        <f>G136</f>
        <v>280000</v>
      </c>
      <c r="H138" s="127">
        <f>H136</f>
        <v>280000</v>
      </c>
    </row>
    <row r="139" spans="1:6" ht="15.75">
      <c r="A139" s="113"/>
      <c r="B139" s="138"/>
      <c r="C139" s="138"/>
      <c r="D139" s="113"/>
      <c r="E139" s="113"/>
      <c r="F139" s="139"/>
    </row>
    <row r="140" spans="1:8" ht="18.75" customHeight="1">
      <c r="A140" s="323" t="s">
        <v>174</v>
      </c>
      <c r="B140" s="323"/>
      <c r="C140" s="323"/>
      <c r="D140" s="323"/>
      <c r="E140" s="323"/>
      <c r="F140" s="323"/>
      <c r="G140" s="323"/>
      <c r="H140" s="323"/>
    </row>
    <row r="141" spans="1:8" ht="12.75" customHeight="1">
      <c r="A141" s="324"/>
      <c r="B141" s="324"/>
      <c r="C141" s="324"/>
      <c r="D141" s="324"/>
      <c r="E141" s="324"/>
      <c r="F141" s="324"/>
      <c r="G141" s="324"/>
      <c r="H141" s="324"/>
    </row>
    <row r="142" spans="1:8" ht="12.75" customHeight="1">
      <c r="A142" s="325" t="s">
        <v>175</v>
      </c>
      <c r="B142" s="325"/>
      <c r="C142" s="325"/>
      <c r="D142" s="325"/>
      <c r="E142" s="325"/>
      <c r="F142" s="325"/>
      <c r="G142" s="325"/>
      <c r="H142" s="325"/>
    </row>
    <row r="143" spans="1:8" ht="12.75" customHeight="1">
      <c r="A143" s="141"/>
      <c r="B143" s="141"/>
      <c r="C143" s="141"/>
      <c r="D143" s="141"/>
      <c r="E143" s="141"/>
      <c r="F143" s="141"/>
      <c r="G143" s="141"/>
      <c r="H143" s="141"/>
    </row>
    <row r="144" spans="1:8" ht="14.25" customHeight="1">
      <c r="A144" s="315" t="s">
        <v>176</v>
      </c>
      <c r="B144" s="315"/>
      <c r="C144" s="315"/>
      <c r="D144" s="315"/>
      <c r="E144" s="315"/>
      <c r="F144" s="315"/>
      <c r="G144" s="315"/>
      <c r="H144" s="315"/>
    </row>
    <row r="145" spans="1:8" ht="12.75" customHeight="1">
      <c r="A145" s="317"/>
      <c r="B145" s="317"/>
      <c r="C145" s="317"/>
      <c r="D145" s="317"/>
      <c r="E145" s="317"/>
      <c r="F145" s="317"/>
      <c r="G145" s="317"/>
      <c r="H145" s="317"/>
    </row>
    <row r="146" spans="1:8" ht="12.75" customHeight="1">
      <c r="A146" s="307" t="s">
        <v>177</v>
      </c>
      <c r="B146" s="307"/>
      <c r="C146" s="307"/>
      <c r="D146" s="307"/>
      <c r="E146" s="307"/>
      <c r="F146" s="307"/>
      <c r="G146" s="307"/>
      <c r="H146" s="307"/>
    </row>
    <row r="147" spans="1:8" ht="21" customHeight="1">
      <c r="A147" s="301" t="s">
        <v>104</v>
      </c>
      <c r="B147" s="301" t="s">
        <v>161</v>
      </c>
      <c r="C147" s="301"/>
      <c r="D147" s="301"/>
      <c r="E147" s="301" t="s">
        <v>106</v>
      </c>
      <c r="F147" s="301"/>
      <c r="G147" s="301"/>
      <c r="H147" s="301" t="s">
        <v>107</v>
      </c>
    </row>
    <row r="148" spans="1:8" ht="52.5" customHeight="1">
      <c r="A148" s="301"/>
      <c r="B148" s="301"/>
      <c r="C148" s="301"/>
      <c r="D148" s="301"/>
      <c r="E148" s="301" t="s">
        <v>108</v>
      </c>
      <c r="F148" s="301"/>
      <c r="G148" s="85" t="s">
        <v>12</v>
      </c>
      <c r="H148" s="301"/>
    </row>
    <row r="149" spans="1:8" ht="12.75" customHeight="1">
      <c r="A149" s="301"/>
      <c r="B149" s="301"/>
      <c r="C149" s="301"/>
      <c r="D149" s="301"/>
      <c r="E149" s="87" t="s">
        <v>178</v>
      </c>
      <c r="F149" s="87" t="s">
        <v>112</v>
      </c>
      <c r="G149" s="87" t="s">
        <v>112</v>
      </c>
      <c r="H149" s="301"/>
    </row>
    <row r="150" spans="1:8" ht="12.75" customHeight="1">
      <c r="A150" s="91">
        <v>1</v>
      </c>
      <c r="B150" s="303">
        <v>2</v>
      </c>
      <c r="C150" s="303"/>
      <c r="D150" s="303"/>
      <c r="E150" s="91">
        <v>3</v>
      </c>
      <c r="F150" s="91">
        <v>4</v>
      </c>
      <c r="G150" s="91">
        <v>5</v>
      </c>
      <c r="H150" s="91" t="s">
        <v>179</v>
      </c>
    </row>
    <row r="151" spans="1:8" ht="18" customHeight="1">
      <c r="A151" s="91">
        <v>1</v>
      </c>
      <c r="B151" s="305" t="s">
        <v>180</v>
      </c>
      <c r="C151" s="305"/>
      <c r="D151" s="305"/>
      <c r="E151" s="91"/>
      <c r="F151" s="121"/>
      <c r="G151" s="142">
        <f>500000+100000+550000-150000</f>
        <v>1000000</v>
      </c>
      <c r="H151" s="142">
        <f>G151</f>
        <v>1000000</v>
      </c>
    </row>
    <row r="152" spans="1:8" ht="12.75" customHeight="1">
      <c r="A152" s="105"/>
      <c r="B152" s="296" t="s">
        <v>118</v>
      </c>
      <c r="C152" s="296"/>
      <c r="D152" s="296"/>
      <c r="E152" s="105" t="s">
        <v>119</v>
      </c>
      <c r="F152" s="137">
        <f>SUM(F151:F151)</f>
        <v>0</v>
      </c>
      <c r="G152" s="143">
        <f>G151</f>
        <v>1000000</v>
      </c>
      <c r="H152" s="143">
        <f>G152</f>
        <v>1000000</v>
      </c>
    </row>
    <row r="153" spans="1:8" ht="12.75" customHeight="1">
      <c r="A153" s="128"/>
      <c r="B153" s="128"/>
      <c r="C153" s="128"/>
      <c r="D153" s="128"/>
      <c r="E153" s="128"/>
      <c r="F153" s="128"/>
      <c r="G153" s="128"/>
      <c r="H153" s="128"/>
    </row>
    <row r="154" spans="1:8" ht="20.25" customHeight="1">
      <c r="A154" s="82" t="s">
        <v>181</v>
      </c>
      <c r="B154" s="109"/>
      <c r="C154" s="109"/>
      <c r="D154" s="109"/>
      <c r="E154" s="110"/>
      <c r="F154" s="127">
        <f>F152</f>
        <v>0</v>
      </c>
      <c r="G154" s="127">
        <f>G152</f>
        <v>1000000</v>
      </c>
      <c r="H154" s="127">
        <f>H152</f>
        <v>1000000</v>
      </c>
    </row>
    <row r="155" spans="1:8" ht="12.75" customHeight="1">
      <c r="A155" s="128"/>
      <c r="B155" s="128"/>
      <c r="C155" s="128"/>
      <c r="D155" s="128"/>
      <c r="E155" s="128"/>
      <c r="F155" s="128"/>
      <c r="G155" s="128"/>
      <c r="H155" s="128"/>
    </row>
    <row r="156" spans="1:8" ht="15.75" customHeight="1">
      <c r="A156" s="315" t="s">
        <v>182</v>
      </c>
      <c r="B156" s="315"/>
      <c r="C156" s="315"/>
      <c r="D156" s="315"/>
      <c r="E156" s="315"/>
      <c r="F156" s="315"/>
      <c r="G156" s="315"/>
      <c r="H156" s="315"/>
    </row>
    <row r="157" spans="1:6" ht="12" customHeight="1">
      <c r="A157" s="315"/>
      <c r="B157" s="315"/>
      <c r="C157" s="315"/>
      <c r="D157" s="315"/>
      <c r="E157" s="315"/>
      <c r="F157" s="315"/>
    </row>
    <row r="158" spans="1:8" ht="18.75">
      <c r="A158" s="315" t="s">
        <v>183</v>
      </c>
      <c r="B158" s="315"/>
      <c r="C158" s="315"/>
      <c r="D158" s="315"/>
      <c r="E158" s="315"/>
      <c r="F158" s="315"/>
      <c r="G158" s="315"/>
      <c r="H158" s="315"/>
    </row>
    <row r="159" spans="1:8" ht="9.75" customHeight="1">
      <c r="A159" s="109"/>
      <c r="B159" s="109"/>
      <c r="C159" s="109"/>
      <c r="D159" s="109"/>
      <c r="E159" s="109"/>
      <c r="F159" s="109"/>
      <c r="G159" s="109"/>
      <c r="H159" s="109"/>
    </row>
    <row r="160" spans="1:8" s="79" customFormat="1" ht="13.5" customHeight="1">
      <c r="A160" s="307" t="s">
        <v>184</v>
      </c>
      <c r="B160" s="307"/>
      <c r="C160" s="307"/>
      <c r="D160" s="307"/>
      <c r="E160" s="307"/>
      <c r="F160" s="307"/>
      <c r="G160" s="307"/>
      <c r="H160" s="307"/>
    </row>
    <row r="161" spans="1:8" s="79" customFormat="1" ht="24" customHeight="1">
      <c r="A161" s="301" t="s">
        <v>104</v>
      </c>
      <c r="B161" s="301" t="s">
        <v>161</v>
      </c>
      <c r="C161" s="301" t="s">
        <v>106</v>
      </c>
      <c r="D161" s="301"/>
      <c r="E161" s="301"/>
      <c r="F161" s="301"/>
      <c r="G161" s="301"/>
      <c r="H161" s="302" t="s">
        <v>107</v>
      </c>
    </row>
    <row r="162" spans="1:8" ht="51" customHeight="1">
      <c r="A162" s="301"/>
      <c r="B162" s="301"/>
      <c r="C162" s="301" t="s">
        <v>108</v>
      </c>
      <c r="D162" s="301"/>
      <c r="E162" s="301"/>
      <c r="F162" s="301"/>
      <c r="G162" s="85" t="s">
        <v>12</v>
      </c>
      <c r="H162" s="302"/>
    </row>
    <row r="163" spans="1:8" s="84" customFormat="1" ht="45">
      <c r="A163" s="301"/>
      <c r="B163" s="301"/>
      <c r="C163" s="87" t="s">
        <v>185</v>
      </c>
      <c r="D163" s="87" t="s">
        <v>186</v>
      </c>
      <c r="E163" s="87" t="s">
        <v>187</v>
      </c>
      <c r="F163" s="129" t="s">
        <v>112</v>
      </c>
      <c r="G163" s="100" t="s">
        <v>112</v>
      </c>
      <c r="H163" s="302"/>
    </row>
    <row r="164" spans="1:8" ht="15">
      <c r="A164" s="87">
        <v>1</v>
      </c>
      <c r="B164" s="86">
        <v>2</v>
      </c>
      <c r="C164" s="87">
        <v>3</v>
      </c>
      <c r="D164" s="87">
        <v>4</v>
      </c>
      <c r="E164" s="87">
        <v>5</v>
      </c>
      <c r="F164" s="88" t="s">
        <v>188</v>
      </c>
      <c r="G164" s="88">
        <v>7</v>
      </c>
      <c r="H164" s="88" t="s">
        <v>113</v>
      </c>
    </row>
    <row r="165" spans="1:8" ht="29.25" customHeight="1">
      <c r="A165" s="91" t="s">
        <v>165</v>
      </c>
      <c r="B165" s="144" t="s">
        <v>189</v>
      </c>
      <c r="C165" s="91">
        <v>10</v>
      </c>
      <c r="D165" s="91">
        <v>12</v>
      </c>
      <c r="E165" s="121">
        <f>F165/C165/D165</f>
        <v>0</v>
      </c>
      <c r="F165" s="121"/>
      <c r="G165" s="142">
        <v>0</v>
      </c>
      <c r="H165" s="142">
        <f>F165+G165</f>
        <v>0</v>
      </c>
    </row>
    <row r="166" spans="1:8" ht="16.5" customHeight="1">
      <c r="A166" s="91" t="s">
        <v>167</v>
      </c>
      <c r="B166" s="135" t="s">
        <v>190</v>
      </c>
      <c r="C166" s="91"/>
      <c r="D166" s="91"/>
      <c r="E166" s="121"/>
      <c r="F166" s="121"/>
      <c r="G166" s="142">
        <v>160000</v>
      </c>
      <c r="H166" s="142">
        <f>F166+G166</f>
        <v>160000</v>
      </c>
    </row>
    <row r="167" spans="1:8" ht="29.25" customHeight="1">
      <c r="A167" s="91" t="s">
        <v>169</v>
      </c>
      <c r="B167" s="145" t="s">
        <v>191</v>
      </c>
      <c r="C167" s="91"/>
      <c r="D167" s="91"/>
      <c r="E167" s="121"/>
      <c r="F167" s="121"/>
      <c r="G167" s="142">
        <v>100000</v>
      </c>
      <c r="H167" s="142">
        <f>F167+G167</f>
        <v>100000</v>
      </c>
    </row>
    <row r="168" spans="1:8" ht="29.25" customHeight="1">
      <c r="A168" s="91" t="s">
        <v>171</v>
      </c>
      <c r="B168" s="135" t="s">
        <v>192</v>
      </c>
      <c r="C168" s="91"/>
      <c r="D168" s="91"/>
      <c r="E168" s="121"/>
      <c r="F168" s="121"/>
      <c r="G168" s="142">
        <v>8300</v>
      </c>
      <c r="H168" s="142">
        <f>F168+G168</f>
        <v>8300</v>
      </c>
    </row>
    <row r="169" spans="1:8" ht="15" customHeight="1">
      <c r="A169" s="296" t="s">
        <v>118</v>
      </c>
      <c r="B169" s="296"/>
      <c r="C169" s="105">
        <f>SUM(C165:C165)</f>
        <v>10</v>
      </c>
      <c r="D169" s="105" t="s">
        <v>119</v>
      </c>
      <c r="E169" s="105" t="s">
        <v>119</v>
      </c>
      <c r="F169" s="137">
        <f>SUM(F165:F168)</f>
        <v>0</v>
      </c>
      <c r="G169" s="137">
        <f>SUM(G165:G168)</f>
        <v>268300</v>
      </c>
      <c r="H169" s="137">
        <f>SUM(H165:H168)</f>
        <v>268300</v>
      </c>
    </row>
    <row r="170" spans="1:6" ht="15.75">
      <c r="A170" s="138"/>
      <c r="B170" s="138"/>
      <c r="C170" s="113"/>
      <c r="D170" s="113"/>
      <c r="E170" s="113"/>
      <c r="F170" s="139"/>
    </row>
    <row r="171" spans="1:8" ht="18.75">
      <c r="A171" s="315" t="s">
        <v>193</v>
      </c>
      <c r="B171" s="315"/>
      <c r="C171" s="315"/>
      <c r="D171" s="315"/>
      <c r="E171" s="315"/>
      <c r="F171" s="315"/>
      <c r="G171" s="315"/>
      <c r="H171" s="315"/>
    </row>
    <row r="172" spans="1:8" s="79" customFormat="1" ht="18.75" customHeight="1">
      <c r="A172" s="307" t="s">
        <v>194</v>
      </c>
      <c r="B172" s="307"/>
      <c r="C172" s="307"/>
      <c r="D172" s="307"/>
      <c r="E172" s="307"/>
      <c r="F172" s="307"/>
      <c r="G172" s="307"/>
      <c r="H172" s="307"/>
    </row>
    <row r="173" spans="1:5" s="79" customFormat="1" ht="11.25" customHeight="1">
      <c r="A173" s="82"/>
      <c r="B173" s="82"/>
      <c r="C173" s="82"/>
      <c r="D173" s="82"/>
      <c r="E173" s="82"/>
    </row>
    <row r="174" spans="1:8" s="79" customFormat="1" ht="27.75" customHeight="1">
      <c r="A174" s="301" t="s">
        <v>104</v>
      </c>
      <c r="B174" s="301" t="s">
        <v>161</v>
      </c>
      <c r="C174" s="301"/>
      <c r="D174" s="301" t="s">
        <v>106</v>
      </c>
      <c r="E174" s="301"/>
      <c r="F174" s="301"/>
      <c r="G174" s="301"/>
      <c r="H174" s="302" t="s">
        <v>107</v>
      </c>
    </row>
    <row r="175" spans="1:8" ht="48">
      <c r="A175" s="301"/>
      <c r="B175" s="301"/>
      <c r="C175" s="301"/>
      <c r="D175" s="301" t="s">
        <v>108</v>
      </c>
      <c r="E175" s="301"/>
      <c r="F175" s="301"/>
      <c r="G175" s="85" t="s">
        <v>12</v>
      </c>
      <c r="H175" s="302"/>
    </row>
    <row r="176" spans="1:8" s="84" customFormat="1" ht="27.75" customHeight="1">
      <c r="A176" s="301"/>
      <c r="B176" s="301"/>
      <c r="C176" s="301"/>
      <c r="D176" s="86" t="s">
        <v>195</v>
      </c>
      <c r="E176" s="86" t="s">
        <v>196</v>
      </c>
      <c r="F176" s="87" t="s">
        <v>112</v>
      </c>
      <c r="G176" s="100" t="s">
        <v>112</v>
      </c>
      <c r="H176" s="302"/>
    </row>
    <row r="177" spans="1:8" ht="15.75">
      <c r="A177" s="91">
        <v>1</v>
      </c>
      <c r="B177" s="303">
        <v>2</v>
      </c>
      <c r="C177" s="303"/>
      <c r="D177" s="91">
        <v>3</v>
      </c>
      <c r="E177" s="91">
        <v>4</v>
      </c>
      <c r="F177" s="91" t="s">
        <v>124</v>
      </c>
      <c r="G177" s="91">
        <v>6</v>
      </c>
      <c r="H177" s="91" t="s">
        <v>125</v>
      </c>
    </row>
    <row r="178" spans="1:8" ht="29.25" customHeight="1">
      <c r="A178" s="91" t="s">
        <v>165</v>
      </c>
      <c r="B178" s="305" t="s">
        <v>197</v>
      </c>
      <c r="C178" s="305"/>
      <c r="D178" s="91">
        <v>4</v>
      </c>
      <c r="E178" s="121">
        <f>F178/D178</f>
        <v>0</v>
      </c>
      <c r="F178" s="121"/>
      <c r="G178" s="146">
        <v>0</v>
      </c>
      <c r="H178" s="146">
        <f>F178+G178</f>
        <v>0</v>
      </c>
    </row>
    <row r="179" spans="1:8" ht="32.25" customHeight="1">
      <c r="A179" s="91" t="s">
        <v>167</v>
      </c>
      <c r="B179" s="305" t="s">
        <v>198</v>
      </c>
      <c r="C179" s="305"/>
      <c r="D179" s="91"/>
      <c r="E179" s="121"/>
      <c r="F179" s="121"/>
      <c r="G179" s="146">
        <v>209000</v>
      </c>
      <c r="H179" s="146">
        <f>F179+G179</f>
        <v>209000</v>
      </c>
    </row>
    <row r="180" spans="1:8" ht="18" customHeight="1">
      <c r="A180" s="296" t="s">
        <v>118</v>
      </c>
      <c r="B180" s="296"/>
      <c r="C180" s="296"/>
      <c r="D180" s="105"/>
      <c r="E180" s="137"/>
      <c r="F180" s="137">
        <f>SUM(F178:F179)</f>
        <v>0</v>
      </c>
      <c r="G180" s="137">
        <f>SUM(G178:G179)</f>
        <v>209000</v>
      </c>
      <c r="H180" s="137">
        <f>SUM(H178:H179)</f>
        <v>209000</v>
      </c>
    </row>
    <row r="181" spans="1:8" ht="14.25" customHeight="1">
      <c r="A181" s="138"/>
      <c r="B181" s="138"/>
      <c r="C181" s="138"/>
      <c r="D181" s="113"/>
      <c r="E181" s="139"/>
      <c r="F181" s="139"/>
      <c r="G181" s="139"/>
      <c r="H181" s="139"/>
    </row>
    <row r="182" spans="1:8" ht="25.5" customHeight="1">
      <c r="A182" s="315" t="s">
        <v>199</v>
      </c>
      <c r="B182" s="315"/>
      <c r="C182" s="315"/>
      <c r="D182" s="315"/>
      <c r="E182" s="315"/>
      <c r="F182" s="315"/>
      <c r="G182" s="315"/>
      <c r="H182" s="315"/>
    </row>
    <row r="183" spans="1:8" s="79" customFormat="1" ht="18.75" customHeight="1">
      <c r="A183" s="307" t="s">
        <v>200</v>
      </c>
      <c r="B183" s="307"/>
      <c r="C183" s="307"/>
      <c r="D183" s="307"/>
      <c r="E183" s="307"/>
      <c r="F183" s="307"/>
      <c r="G183" s="307"/>
      <c r="H183" s="307"/>
    </row>
    <row r="184" spans="1:8" s="79" customFormat="1" ht="18.75" customHeight="1">
      <c r="A184" s="301" t="s">
        <v>104</v>
      </c>
      <c r="B184" s="301" t="s">
        <v>2</v>
      </c>
      <c r="C184" s="301" t="s">
        <v>106</v>
      </c>
      <c r="D184" s="301"/>
      <c r="E184" s="301"/>
      <c r="F184" s="301"/>
      <c r="G184" s="301"/>
      <c r="H184" s="302" t="s">
        <v>107</v>
      </c>
    </row>
    <row r="185" spans="1:8" ht="46.5" customHeight="1">
      <c r="A185" s="301"/>
      <c r="B185" s="301"/>
      <c r="C185" s="301" t="s">
        <v>108</v>
      </c>
      <c r="D185" s="301"/>
      <c r="E185" s="301"/>
      <c r="F185" s="301"/>
      <c r="G185" s="85" t="s">
        <v>12</v>
      </c>
      <c r="H185" s="302"/>
    </row>
    <row r="186" spans="1:8" s="84" customFormat="1" ht="39.75" customHeight="1">
      <c r="A186" s="301"/>
      <c r="B186" s="301"/>
      <c r="C186" s="86" t="s">
        <v>201</v>
      </c>
      <c r="D186" s="87" t="s">
        <v>202</v>
      </c>
      <c r="E186" s="87" t="s">
        <v>203</v>
      </c>
      <c r="F186" s="129" t="s">
        <v>112</v>
      </c>
      <c r="G186" s="100" t="s">
        <v>112</v>
      </c>
      <c r="H186" s="302"/>
    </row>
    <row r="187" spans="1:8" ht="15.75">
      <c r="A187" s="91">
        <v>1</v>
      </c>
      <c r="B187" s="91">
        <v>2</v>
      </c>
      <c r="C187" s="91">
        <v>3</v>
      </c>
      <c r="D187" s="91">
        <v>4</v>
      </c>
      <c r="E187" s="91">
        <v>5</v>
      </c>
      <c r="F187" s="147" t="s">
        <v>188</v>
      </c>
      <c r="G187" s="91">
        <v>7</v>
      </c>
      <c r="H187" s="147" t="s">
        <v>113</v>
      </c>
    </row>
    <row r="188" spans="1:8" ht="32.25" customHeight="1">
      <c r="A188" s="303">
        <v>1</v>
      </c>
      <c r="B188" s="148" t="s">
        <v>204</v>
      </c>
      <c r="C188" s="91">
        <v>13642.8</v>
      </c>
      <c r="D188" s="121">
        <v>76.03</v>
      </c>
      <c r="E188" s="91">
        <v>1</v>
      </c>
      <c r="F188" s="121">
        <f>C188*D188*E188</f>
        <v>1037262.0839999999</v>
      </c>
      <c r="G188" s="142">
        <v>0</v>
      </c>
      <c r="H188" s="142">
        <f>F188+G188</f>
        <v>1037262.0839999999</v>
      </c>
    </row>
    <row r="189" spans="1:8" ht="34.5" customHeight="1">
      <c r="A189" s="303"/>
      <c r="B189" s="149" t="s">
        <v>205</v>
      </c>
      <c r="C189" s="91">
        <v>13642.8</v>
      </c>
      <c r="D189" s="121">
        <v>79.53</v>
      </c>
      <c r="E189" s="91">
        <v>1</v>
      </c>
      <c r="F189" s="121">
        <f>C189*D189*E189-11.15</f>
        <v>1085000.734</v>
      </c>
      <c r="G189" s="142">
        <v>0</v>
      </c>
      <c r="H189" s="142">
        <f>F189+G189</f>
        <v>1085000.734</v>
      </c>
    </row>
    <row r="190" spans="1:8" ht="29.25" customHeight="1">
      <c r="A190" s="322">
        <v>2</v>
      </c>
      <c r="B190" s="150" t="s">
        <v>206</v>
      </c>
      <c r="C190" s="91">
        <f>C188/2</f>
        <v>6821.4</v>
      </c>
      <c r="D190" s="121">
        <v>29.81</v>
      </c>
      <c r="E190" s="91">
        <v>1</v>
      </c>
      <c r="F190" s="121">
        <f>C190*D190*E190</f>
        <v>203345.93399999998</v>
      </c>
      <c r="G190" s="142"/>
      <c r="H190" s="142">
        <f>F190+G190</f>
        <v>203345.93399999998</v>
      </c>
    </row>
    <row r="191" spans="1:8" ht="28.5" customHeight="1">
      <c r="A191" s="322"/>
      <c r="B191" s="150" t="s">
        <v>207</v>
      </c>
      <c r="C191" s="91">
        <f>C189/2</f>
        <v>6821.4</v>
      </c>
      <c r="D191" s="121">
        <v>31.18</v>
      </c>
      <c r="E191" s="91">
        <v>1</v>
      </c>
      <c r="F191" s="121">
        <f>C191*D191*E191</f>
        <v>212691.25199999998</v>
      </c>
      <c r="G191" s="142"/>
      <c r="H191" s="142">
        <f>F191+G191</f>
        <v>212691.25199999998</v>
      </c>
    </row>
    <row r="192" spans="1:8" ht="21" customHeight="1">
      <c r="A192" s="296" t="s">
        <v>118</v>
      </c>
      <c r="B192" s="296"/>
      <c r="C192" s="105" t="s">
        <v>119</v>
      </c>
      <c r="D192" s="105" t="s">
        <v>119</v>
      </c>
      <c r="E192" s="105" t="s">
        <v>119</v>
      </c>
      <c r="F192" s="137">
        <f>SUM(F188:F191)</f>
        <v>2538300.0039999997</v>
      </c>
      <c r="G192" s="137">
        <f>SUM(G188:G191)</f>
        <v>0</v>
      </c>
      <c r="H192" s="137">
        <f>SUM(H188:H191)</f>
        <v>2538300.0039999997</v>
      </c>
    </row>
    <row r="193" spans="1:6" ht="13.5" customHeight="1">
      <c r="A193" s="151"/>
      <c r="B193" s="152"/>
      <c r="C193" s="152"/>
      <c r="D193" s="152"/>
      <c r="E193" s="152"/>
      <c r="F193" s="153"/>
    </row>
    <row r="194" spans="1:8" ht="13.5" customHeight="1">
      <c r="A194" s="307" t="s">
        <v>208</v>
      </c>
      <c r="B194" s="307"/>
      <c r="C194" s="307"/>
      <c r="D194" s="307"/>
      <c r="E194" s="307"/>
      <c r="F194" s="307"/>
      <c r="G194" s="307"/>
      <c r="H194" s="307"/>
    </row>
    <row r="195" spans="1:8" ht="13.5" customHeight="1">
      <c r="A195" s="301" t="s">
        <v>104</v>
      </c>
      <c r="B195" s="301" t="s">
        <v>2</v>
      </c>
      <c r="C195" s="301" t="s">
        <v>106</v>
      </c>
      <c r="D195" s="301"/>
      <c r="E195" s="301"/>
      <c r="F195" s="301"/>
      <c r="G195" s="301"/>
      <c r="H195" s="302" t="s">
        <v>107</v>
      </c>
    </row>
    <row r="196" spans="1:8" ht="49.5" customHeight="1">
      <c r="A196" s="301"/>
      <c r="B196" s="301"/>
      <c r="C196" s="301" t="s">
        <v>108</v>
      </c>
      <c r="D196" s="301"/>
      <c r="E196" s="301"/>
      <c r="F196" s="301"/>
      <c r="G196" s="85" t="s">
        <v>12</v>
      </c>
      <c r="H196" s="302"/>
    </row>
    <row r="197" spans="1:8" ht="36.75" customHeight="1">
      <c r="A197" s="301"/>
      <c r="B197" s="301"/>
      <c r="C197" s="86" t="s">
        <v>201</v>
      </c>
      <c r="D197" s="87" t="s">
        <v>202</v>
      </c>
      <c r="E197" s="87" t="s">
        <v>203</v>
      </c>
      <c r="F197" s="129" t="s">
        <v>112</v>
      </c>
      <c r="G197" s="100" t="s">
        <v>112</v>
      </c>
      <c r="H197" s="302"/>
    </row>
    <row r="198" spans="1:8" ht="13.5" customHeight="1">
      <c r="A198" s="91">
        <v>1</v>
      </c>
      <c r="B198" s="91">
        <v>2</v>
      </c>
      <c r="C198" s="91">
        <v>3</v>
      </c>
      <c r="D198" s="91">
        <v>4</v>
      </c>
      <c r="E198" s="91">
        <v>5</v>
      </c>
      <c r="F198" s="147" t="s">
        <v>188</v>
      </c>
      <c r="G198" s="91">
        <v>7</v>
      </c>
      <c r="H198" s="147" t="s">
        <v>113</v>
      </c>
    </row>
    <row r="199" spans="1:8" ht="17.25" customHeight="1">
      <c r="A199" s="303">
        <v>2</v>
      </c>
      <c r="B199" s="154" t="s">
        <v>209</v>
      </c>
      <c r="C199" s="91">
        <v>210900</v>
      </c>
      <c r="D199" s="121">
        <v>8.06</v>
      </c>
      <c r="E199" s="91">
        <v>1</v>
      </c>
      <c r="F199" s="121">
        <f>C199*D199*E199</f>
        <v>1699854</v>
      </c>
      <c r="G199" s="142">
        <v>0</v>
      </c>
      <c r="H199" s="142">
        <f aca="true" t="shared" si="1" ref="H199:H206">F199+G199</f>
        <v>1699854</v>
      </c>
    </row>
    <row r="200" spans="1:8" ht="17.25" customHeight="1">
      <c r="A200" s="303"/>
      <c r="B200" s="154" t="s">
        <v>210</v>
      </c>
      <c r="C200" s="91">
        <v>210900</v>
      </c>
      <c r="D200" s="121">
        <v>8.43</v>
      </c>
      <c r="E200" s="91">
        <v>1</v>
      </c>
      <c r="F200" s="121">
        <f>C200*D200*E200-41</f>
        <v>1777846</v>
      </c>
      <c r="G200" s="142">
        <v>0</v>
      </c>
      <c r="H200" s="142">
        <f t="shared" si="1"/>
        <v>1777846</v>
      </c>
    </row>
    <row r="201" spans="1:8" ht="22.5" customHeight="1">
      <c r="A201" s="303">
        <v>3</v>
      </c>
      <c r="B201" s="305" t="s">
        <v>211</v>
      </c>
      <c r="C201" s="155">
        <v>182.6</v>
      </c>
      <c r="D201" s="121">
        <v>4629.41</v>
      </c>
      <c r="E201" s="91">
        <v>1</v>
      </c>
      <c r="F201" s="121">
        <f>C201*D201*E201</f>
        <v>845330.266</v>
      </c>
      <c r="G201" s="142">
        <v>0</v>
      </c>
      <c r="H201" s="142">
        <f t="shared" si="1"/>
        <v>845330.266</v>
      </c>
    </row>
    <row r="202" spans="1:8" ht="21.75" customHeight="1">
      <c r="A202" s="303"/>
      <c r="B202" s="305"/>
      <c r="C202" s="156">
        <v>182.6</v>
      </c>
      <c r="D202" s="121">
        <v>2721.87</v>
      </c>
      <c r="E202" s="91">
        <v>1</v>
      </c>
      <c r="F202" s="121">
        <f>C202*D202*E202</f>
        <v>497013.46199999994</v>
      </c>
      <c r="G202" s="142">
        <v>0</v>
      </c>
      <c r="H202" s="142">
        <f t="shared" si="1"/>
        <v>497013.46199999994</v>
      </c>
    </row>
    <row r="203" spans="1:8" ht="28.5" customHeight="1">
      <c r="A203" s="303"/>
      <c r="B203" s="305" t="s">
        <v>212</v>
      </c>
      <c r="C203" s="155">
        <v>182.6</v>
      </c>
      <c r="D203" s="121">
        <v>4842.36</v>
      </c>
      <c r="E203" s="91">
        <v>1</v>
      </c>
      <c r="F203" s="121">
        <f>C203*D203*E203</f>
        <v>884214.9359999999</v>
      </c>
      <c r="G203" s="142">
        <v>0</v>
      </c>
      <c r="H203" s="142">
        <f t="shared" si="1"/>
        <v>884214.9359999999</v>
      </c>
    </row>
    <row r="204" spans="1:8" ht="21" customHeight="1">
      <c r="A204" s="303"/>
      <c r="B204" s="305"/>
      <c r="C204" s="156">
        <v>182.6</v>
      </c>
      <c r="D204" s="121">
        <v>2847.08</v>
      </c>
      <c r="E204" s="91">
        <v>1</v>
      </c>
      <c r="F204" s="121">
        <f>C204*D204*E204-35.47</f>
        <v>519841.338</v>
      </c>
      <c r="G204" s="142">
        <v>0</v>
      </c>
      <c r="H204" s="142">
        <f t="shared" si="1"/>
        <v>519841.338</v>
      </c>
    </row>
    <row r="205" spans="1:8" ht="30" customHeight="1">
      <c r="A205" s="303">
        <v>4</v>
      </c>
      <c r="B205" s="157" t="s">
        <v>213</v>
      </c>
      <c r="C205" s="158">
        <v>412.2</v>
      </c>
      <c r="D205" s="121">
        <v>4629.41</v>
      </c>
      <c r="E205" s="91">
        <v>1</v>
      </c>
      <c r="F205" s="121">
        <f>C205*D205*E205</f>
        <v>1908242.802</v>
      </c>
      <c r="G205" s="142">
        <v>0</v>
      </c>
      <c r="H205" s="142">
        <f t="shared" si="1"/>
        <v>1908242.802</v>
      </c>
    </row>
    <row r="206" spans="1:8" ht="31.5" customHeight="1">
      <c r="A206" s="303"/>
      <c r="B206" s="157" t="s">
        <v>214</v>
      </c>
      <c r="C206" s="158">
        <v>412.2</v>
      </c>
      <c r="D206" s="121">
        <v>4842.36</v>
      </c>
      <c r="E206" s="91">
        <v>1</v>
      </c>
      <c r="F206" s="121">
        <f>C206*D206*E206+36.41</f>
        <v>1996057.2019999998</v>
      </c>
      <c r="G206" s="142">
        <v>0</v>
      </c>
      <c r="H206" s="142">
        <f t="shared" si="1"/>
        <v>1996057.2019999998</v>
      </c>
    </row>
    <row r="207" spans="1:8" ht="13.5" customHeight="1">
      <c r="A207" s="296" t="s">
        <v>118</v>
      </c>
      <c r="B207" s="296"/>
      <c r="C207" s="105" t="s">
        <v>119</v>
      </c>
      <c r="D207" s="105" t="s">
        <v>119</v>
      </c>
      <c r="E207" s="105" t="s">
        <v>119</v>
      </c>
      <c r="F207" s="137">
        <f>SUM(F199:F206)-0.01</f>
        <v>10128399.996000001</v>
      </c>
      <c r="G207" s="137">
        <f>SUM(G199:G206)</f>
        <v>0</v>
      </c>
      <c r="H207" s="137">
        <f>SUM(H199:H206)-0.01</f>
        <v>10128399.996000001</v>
      </c>
    </row>
    <row r="208" spans="1:6" ht="13.5" customHeight="1">
      <c r="A208" s="151"/>
      <c r="B208" s="152"/>
      <c r="C208" s="152"/>
      <c r="D208" s="152"/>
      <c r="E208" s="152"/>
      <c r="F208" s="153"/>
    </row>
    <row r="209" spans="1:8" ht="18.75">
      <c r="A209" s="315" t="s">
        <v>215</v>
      </c>
      <c r="B209" s="315"/>
      <c r="C209" s="315"/>
      <c r="D209" s="315"/>
      <c r="E209" s="315"/>
      <c r="F209" s="315"/>
      <c r="G209" s="315"/>
      <c r="H209" s="315"/>
    </row>
    <row r="210" spans="1:8" ht="15.75">
      <c r="A210" s="317"/>
      <c r="B210" s="317"/>
      <c r="C210" s="317"/>
      <c r="D210" s="317"/>
      <c r="E210" s="317"/>
      <c r="F210" s="317"/>
      <c r="G210" s="317"/>
      <c r="H210" s="317"/>
    </row>
    <row r="211" spans="1:8" s="79" customFormat="1" ht="18.75" customHeight="1">
      <c r="A211" s="307" t="s">
        <v>216</v>
      </c>
      <c r="B211" s="307"/>
      <c r="C211" s="307"/>
      <c r="D211" s="307"/>
      <c r="E211" s="307"/>
      <c r="F211" s="307"/>
      <c r="G211" s="307"/>
      <c r="H211" s="307"/>
    </row>
    <row r="212" spans="1:8" ht="24" customHeight="1">
      <c r="A212" s="301" t="s">
        <v>104</v>
      </c>
      <c r="B212" s="302" t="s">
        <v>161</v>
      </c>
      <c r="C212" s="302"/>
      <c r="D212" s="301" t="s">
        <v>106</v>
      </c>
      <c r="E212" s="301"/>
      <c r="F212" s="301"/>
      <c r="G212" s="301"/>
      <c r="H212" s="302" t="s">
        <v>107</v>
      </c>
    </row>
    <row r="213" spans="1:8" ht="54.75" customHeight="1">
      <c r="A213" s="301"/>
      <c r="B213" s="302"/>
      <c r="C213" s="302"/>
      <c r="D213" s="301" t="s">
        <v>108</v>
      </c>
      <c r="E213" s="301"/>
      <c r="F213" s="301"/>
      <c r="G213" s="85" t="s">
        <v>12</v>
      </c>
      <c r="H213" s="302"/>
    </row>
    <row r="214" spans="1:8" s="84" customFormat="1" ht="30" customHeight="1">
      <c r="A214" s="301"/>
      <c r="B214" s="302"/>
      <c r="C214" s="302"/>
      <c r="D214" s="87" t="s">
        <v>217</v>
      </c>
      <c r="E214" s="87" t="s">
        <v>218</v>
      </c>
      <c r="F214" s="87" t="s">
        <v>112</v>
      </c>
      <c r="G214" s="100" t="s">
        <v>112</v>
      </c>
      <c r="H214" s="302"/>
    </row>
    <row r="215" spans="1:8" ht="15.75">
      <c r="A215" s="91">
        <v>1</v>
      </c>
      <c r="B215" s="303">
        <v>2</v>
      </c>
      <c r="C215" s="303"/>
      <c r="D215" s="91">
        <v>3</v>
      </c>
      <c r="E215" s="91">
        <v>4</v>
      </c>
      <c r="F215" s="91">
        <v>5</v>
      </c>
      <c r="G215" s="91">
        <v>6</v>
      </c>
      <c r="H215" s="91" t="s">
        <v>125</v>
      </c>
    </row>
    <row r="216" spans="1:8" ht="19.5" customHeight="1">
      <c r="A216" s="91">
        <v>1</v>
      </c>
      <c r="B216" s="318" t="s">
        <v>219</v>
      </c>
      <c r="C216" s="318"/>
      <c r="D216" s="159" t="s">
        <v>220</v>
      </c>
      <c r="E216" s="91">
        <v>12</v>
      </c>
      <c r="F216" s="121"/>
      <c r="G216" s="142">
        <f>342250-84400-59000</f>
        <v>198850</v>
      </c>
      <c r="H216" s="142">
        <f aca="true" t="shared" si="2" ref="H216:H229">F216+G216</f>
        <v>198850</v>
      </c>
    </row>
    <row r="217" spans="1:8" ht="15.75" customHeight="1">
      <c r="A217" s="91">
        <v>2</v>
      </c>
      <c r="B217" s="310" t="s">
        <v>221</v>
      </c>
      <c r="C217" s="310"/>
      <c r="D217" s="159" t="s">
        <v>220</v>
      </c>
      <c r="E217" s="91">
        <v>12</v>
      </c>
      <c r="F217" s="121"/>
      <c r="G217" s="142">
        <f>800000+600000-70000+84400+59000+57750-1100000</f>
        <v>431150</v>
      </c>
      <c r="H217" s="142">
        <f t="shared" si="2"/>
        <v>431150</v>
      </c>
    </row>
    <row r="218" spans="1:8" ht="33.75" customHeight="1">
      <c r="A218" s="91">
        <v>3</v>
      </c>
      <c r="B218" s="310" t="s">
        <v>222</v>
      </c>
      <c r="C218" s="310"/>
      <c r="D218" s="159" t="s">
        <v>220</v>
      </c>
      <c r="E218" s="91">
        <v>12</v>
      </c>
      <c r="F218" s="121"/>
      <c r="G218" s="142"/>
      <c r="H218" s="142">
        <f t="shared" si="2"/>
        <v>0</v>
      </c>
    </row>
    <row r="219" spans="1:8" ht="32.25" customHeight="1">
      <c r="A219" s="91">
        <v>4</v>
      </c>
      <c r="B219" s="318" t="s">
        <v>223</v>
      </c>
      <c r="C219" s="318"/>
      <c r="D219" s="159" t="s">
        <v>220</v>
      </c>
      <c r="E219" s="91">
        <v>12</v>
      </c>
      <c r="F219" s="121"/>
      <c r="G219" s="142">
        <f>208900+270000</f>
        <v>478900</v>
      </c>
      <c r="H219" s="142">
        <f t="shared" si="2"/>
        <v>478900</v>
      </c>
    </row>
    <row r="220" spans="1:8" ht="117" customHeight="1">
      <c r="A220" s="91">
        <v>5</v>
      </c>
      <c r="B220" s="320" t="s">
        <v>224</v>
      </c>
      <c r="C220" s="320"/>
      <c r="D220" s="159" t="s">
        <v>220</v>
      </c>
      <c r="E220" s="91">
        <v>12</v>
      </c>
      <c r="F220" s="121"/>
      <c r="G220" s="142">
        <f>420400+100000</f>
        <v>520400</v>
      </c>
      <c r="H220" s="142">
        <f t="shared" si="2"/>
        <v>520400</v>
      </c>
    </row>
    <row r="221" spans="1:8" ht="31.5" customHeight="1">
      <c r="A221" s="91">
        <v>6</v>
      </c>
      <c r="B221" s="320" t="s">
        <v>225</v>
      </c>
      <c r="C221" s="320"/>
      <c r="D221" s="159" t="s">
        <v>220</v>
      </c>
      <c r="E221" s="91">
        <v>12</v>
      </c>
      <c r="F221" s="160"/>
      <c r="G221" s="142">
        <f>800000-300000</f>
        <v>500000</v>
      </c>
      <c r="H221" s="142">
        <f t="shared" si="2"/>
        <v>500000</v>
      </c>
    </row>
    <row r="222" spans="1:8" ht="80.25" customHeight="1">
      <c r="A222" s="91">
        <v>7</v>
      </c>
      <c r="B222" s="321" t="s">
        <v>226</v>
      </c>
      <c r="C222" s="321"/>
      <c r="D222" s="161" t="s">
        <v>220</v>
      </c>
      <c r="E222" s="162">
        <v>12</v>
      </c>
      <c r="F222" s="163"/>
      <c r="G222" s="142">
        <v>150000</v>
      </c>
      <c r="H222" s="142">
        <f t="shared" si="2"/>
        <v>150000</v>
      </c>
    </row>
    <row r="223" spans="1:8" ht="17.25" customHeight="1">
      <c r="A223" s="91">
        <v>8</v>
      </c>
      <c r="B223" s="319" t="s">
        <v>227</v>
      </c>
      <c r="C223" s="319"/>
      <c r="D223" s="161" t="s">
        <v>220</v>
      </c>
      <c r="E223" s="162">
        <v>12</v>
      </c>
      <c r="F223" s="163"/>
      <c r="G223" s="142">
        <v>120000</v>
      </c>
      <c r="H223" s="142">
        <f t="shared" si="2"/>
        <v>120000</v>
      </c>
    </row>
    <row r="224" spans="1:8" ht="17.25" customHeight="1">
      <c r="A224" s="91">
        <v>9</v>
      </c>
      <c r="B224" s="319" t="s">
        <v>228</v>
      </c>
      <c r="C224" s="319"/>
      <c r="D224" s="161" t="s">
        <v>220</v>
      </c>
      <c r="E224" s="162">
        <v>12</v>
      </c>
      <c r="F224" s="163"/>
      <c r="G224" s="142">
        <v>2077000</v>
      </c>
      <c r="H224" s="142">
        <f t="shared" si="2"/>
        <v>2077000</v>
      </c>
    </row>
    <row r="225" spans="1:8" ht="44.25" customHeight="1">
      <c r="A225" s="91">
        <v>10</v>
      </c>
      <c r="B225" s="319" t="s">
        <v>229</v>
      </c>
      <c r="C225" s="319"/>
      <c r="D225" s="161" t="s">
        <v>220</v>
      </c>
      <c r="E225" s="162">
        <v>12</v>
      </c>
      <c r="F225" s="163"/>
      <c r="G225" s="142">
        <v>391100</v>
      </c>
      <c r="H225" s="142">
        <f t="shared" si="2"/>
        <v>391100</v>
      </c>
    </row>
    <row r="226" spans="1:8" ht="19.5" customHeight="1">
      <c r="A226" s="91">
        <v>11</v>
      </c>
      <c r="B226" s="319" t="s">
        <v>230</v>
      </c>
      <c r="C226" s="319"/>
      <c r="D226" s="161" t="s">
        <v>220</v>
      </c>
      <c r="E226" s="162">
        <v>12</v>
      </c>
      <c r="F226" s="163"/>
      <c r="G226" s="142">
        <v>30000</v>
      </c>
      <c r="H226" s="142">
        <f t="shared" si="2"/>
        <v>30000</v>
      </c>
    </row>
    <row r="227" spans="1:8" ht="91.5" customHeight="1">
      <c r="A227" s="91">
        <v>12</v>
      </c>
      <c r="B227" s="319" t="s">
        <v>231</v>
      </c>
      <c r="C227" s="319"/>
      <c r="D227" s="161" t="s">
        <v>220</v>
      </c>
      <c r="E227" s="162">
        <v>12</v>
      </c>
      <c r="F227" s="163"/>
      <c r="G227" s="142">
        <v>89000</v>
      </c>
      <c r="H227" s="142">
        <f t="shared" si="2"/>
        <v>89000</v>
      </c>
    </row>
    <row r="228" spans="1:8" ht="20.25" customHeight="1">
      <c r="A228" s="91">
        <v>13</v>
      </c>
      <c r="B228" s="319" t="s">
        <v>232</v>
      </c>
      <c r="C228" s="319"/>
      <c r="D228" s="161" t="s">
        <v>220</v>
      </c>
      <c r="E228" s="162">
        <v>12</v>
      </c>
      <c r="F228" s="163"/>
      <c r="G228" s="142">
        <v>50000</v>
      </c>
      <c r="H228" s="142">
        <f t="shared" si="2"/>
        <v>50000</v>
      </c>
    </row>
    <row r="229" spans="1:8" ht="16.5" customHeight="1">
      <c r="A229" s="91">
        <v>14</v>
      </c>
      <c r="B229" s="319" t="s">
        <v>233</v>
      </c>
      <c r="C229" s="319"/>
      <c r="D229" s="161" t="s">
        <v>220</v>
      </c>
      <c r="E229" s="162">
        <v>12</v>
      </c>
      <c r="F229" s="163"/>
      <c r="G229" s="142">
        <v>100000</v>
      </c>
      <c r="H229" s="142">
        <f t="shared" si="2"/>
        <v>100000</v>
      </c>
    </row>
    <row r="230" spans="1:8" ht="19.5" customHeight="1">
      <c r="A230" s="296" t="s">
        <v>118</v>
      </c>
      <c r="B230" s="296"/>
      <c r="C230" s="296"/>
      <c r="D230" s="105" t="s">
        <v>119</v>
      </c>
      <c r="E230" s="105" t="s">
        <v>119</v>
      </c>
      <c r="F230" s="137">
        <f>SUM(F216:F228)</f>
        <v>0</v>
      </c>
      <c r="G230" s="137">
        <f>SUM(G216:G229)</f>
        <v>5136400</v>
      </c>
      <c r="H230" s="137">
        <f>SUM(H216:H229)</f>
        <v>5136400</v>
      </c>
    </row>
    <row r="231" spans="1:6" ht="18" customHeight="1">
      <c r="A231" s="151"/>
      <c r="B231" s="152"/>
      <c r="C231" s="152"/>
      <c r="D231" s="152"/>
      <c r="E231" s="152"/>
      <c r="F231" s="153"/>
    </row>
    <row r="232" spans="1:8" ht="18.75">
      <c r="A232" s="315" t="s">
        <v>234</v>
      </c>
      <c r="B232" s="315"/>
      <c r="C232" s="315"/>
      <c r="D232" s="315"/>
      <c r="E232" s="315"/>
      <c r="F232" s="315"/>
      <c r="G232" s="315"/>
      <c r="H232" s="315"/>
    </row>
    <row r="233" spans="1:8" ht="10.5" customHeight="1">
      <c r="A233" s="317"/>
      <c r="B233" s="317"/>
      <c r="C233" s="317"/>
      <c r="D233" s="317"/>
      <c r="E233" s="317"/>
      <c r="F233" s="317"/>
      <c r="G233" s="317"/>
      <c r="H233" s="317"/>
    </row>
    <row r="234" spans="1:8" s="79" customFormat="1" ht="18.75" customHeight="1">
      <c r="A234" s="307" t="s">
        <v>235</v>
      </c>
      <c r="B234" s="307"/>
      <c r="C234" s="307"/>
      <c r="D234" s="307"/>
      <c r="E234" s="307"/>
      <c r="F234" s="307"/>
      <c r="G234" s="307"/>
      <c r="H234" s="307"/>
    </row>
    <row r="235" spans="1:8" ht="21.75" customHeight="1">
      <c r="A235" s="301" t="s">
        <v>104</v>
      </c>
      <c r="B235" s="302" t="s">
        <v>161</v>
      </c>
      <c r="C235" s="302"/>
      <c r="D235" s="302"/>
      <c r="E235" s="301" t="s">
        <v>106</v>
      </c>
      <c r="F235" s="301"/>
      <c r="G235" s="301"/>
      <c r="H235" s="302" t="s">
        <v>107</v>
      </c>
    </row>
    <row r="236" spans="1:8" ht="48">
      <c r="A236" s="301"/>
      <c r="B236" s="302"/>
      <c r="C236" s="302"/>
      <c r="D236" s="302"/>
      <c r="E236" s="301" t="s">
        <v>108</v>
      </c>
      <c r="F236" s="301"/>
      <c r="G236" s="85" t="s">
        <v>12</v>
      </c>
      <c r="H236" s="302"/>
    </row>
    <row r="237" spans="1:8" s="84" customFormat="1" ht="37.5" customHeight="1">
      <c r="A237" s="301"/>
      <c r="B237" s="302"/>
      <c r="C237" s="302"/>
      <c r="D237" s="302"/>
      <c r="E237" s="87" t="s">
        <v>178</v>
      </c>
      <c r="F237" s="87" t="s">
        <v>112</v>
      </c>
      <c r="G237" s="100" t="s">
        <v>112</v>
      </c>
      <c r="H237" s="302"/>
    </row>
    <row r="238" spans="1:8" ht="15.75">
      <c r="A238" s="91">
        <v>1</v>
      </c>
      <c r="B238" s="303">
        <v>2</v>
      </c>
      <c r="C238" s="303"/>
      <c r="D238" s="303"/>
      <c r="E238" s="91">
        <v>3</v>
      </c>
      <c r="F238" s="91">
        <v>4</v>
      </c>
      <c r="G238" s="91">
        <v>5</v>
      </c>
      <c r="H238" s="91" t="s">
        <v>179</v>
      </c>
    </row>
    <row r="239" spans="1:8" ht="30" customHeight="1">
      <c r="A239" s="91">
        <v>1</v>
      </c>
      <c r="B239" s="305" t="s">
        <v>236</v>
      </c>
      <c r="C239" s="305"/>
      <c r="D239" s="305"/>
      <c r="E239" s="91">
        <v>4</v>
      </c>
      <c r="F239" s="121"/>
      <c r="G239" s="142">
        <f>100000+100000+110000</f>
        <v>310000</v>
      </c>
      <c r="H239" s="142">
        <f aca="true" t="shared" si="3" ref="H239:H249">F239+G239</f>
        <v>310000</v>
      </c>
    </row>
    <row r="240" spans="1:8" ht="29.25" customHeight="1">
      <c r="A240" s="91">
        <v>2</v>
      </c>
      <c r="B240" s="305" t="s">
        <v>237</v>
      </c>
      <c r="C240" s="305"/>
      <c r="D240" s="305"/>
      <c r="E240" s="91">
        <v>3</v>
      </c>
      <c r="F240" s="121"/>
      <c r="G240" s="142">
        <f>200000-110000+190000</f>
        <v>280000</v>
      </c>
      <c r="H240" s="142">
        <f t="shared" si="3"/>
        <v>280000</v>
      </c>
    </row>
    <row r="241" spans="1:8" ht="18" customHeight="1">
      <c r="A241" s="91">
        <v>3</v>
      </c>
      <c r="B241" s="310" t="s">
        <v>238</v>
      </c>
      <c r="C241" s="310"/>
      <c r="D241" s="310"/>
      <c r="E241" s="91">
        <v>1</v>
      </c>
      <c r="F241" s="121"/>
      <c r="G241" s="142"/>
      <c r="H241" s="142">
        <f t="shared" si="3"/>
        <v>0</v>
      </c>
    </row>
    <row r="242" spans="1:8" ht="30" customHeight="1">
      <c r="A242" s="91">
        <v>4</v>
      </c>
      <c r="B242" s="318" t="s">
        <v>239</v>
      </c>
      <c r="C242" s="318"/>
      <c r="D242" s="318"/>
      <c r="E242" s="91">
        <v>2</v>
      </c>
      <c r="F242" s="121"/>
      <c r="G242" s="142"/>
      <c r="H242" s="142">
        <f t="shared" si="3"/>
        <v>0</v>
      </c>
    </row>
    <row r="243" spans="1:8" ht="18" customHeight="1">
      <c r="A243" s="91">
        <v>5</v>
      </c>
      <c r="B243" s="310" t="s">
        <v>240</v>
      </c>
      <c r="C243" s="310"/>
      <c r="D243" s="310"/>
      <c r="E243" s="91">
        <v>12</v>
      </c>
      <c r="F243" s="121"/>
      <c r="G243" s="142">
        <f>200000-100000+19680</f>
        <v>119680</v>
      </c>
      <c r="H243" s="142">
        <f t="shared" si="3"/>
        <v>119680</v>
      </c>
    </row>
    <row r="244" spans="1:8" ht="33" customHeight="1">
      <c r="A244" s="91">
        <v>6</v>
      </c>
      <c r="B244" s="310" t="s">
        <v>241</v>
      </c>
      <c r="C244" s="310"/>
      <c r="D244" s="310"/>
      <c r="E244" s="91">
        <v>9</v>
      </c>
      <c r="F244" s="121"/>
      <c r="G244" s="142">
        <f>200000+27500+600</f>
        <v>228100</v>
      </c>
      <c r="H244" s="142">
        <f t="shared" si="3"/>
        <v>228100</v>
      </c>
    </row>
    <row r="245" spans="1:8" ht="63" customHeight="1">
      <c r="A245" s="91">
        <v>7</v>
      </c>
      <c r="B245" s="310" t="s">
        <v>242</v>
      </c>
      <c r="C245" s="310"/>
      <c r="D245" s="310"/>
      <c r="E245" s="91">
        <v>4</v>
      </c>
      <c r="F245" s="121"/>
      <c r="G245" s="142">
        <v>129720</v>
      </c>
      <c r="H245" s="142">
        <f t="shared" si="3"/>
        <v>129720</v>
      </c>
    </row>
    <row r="246" spans="1:8" ht="18" customHeight="1">
      <c r="A246" s="91">
        <v>8</v>
      </c>
      <c r="B246" s="310" t="s">
        <v>243</v>
      </c>
      <c r="C246" s="310"/>
      <c r="D246" s="310"/>
      <c r="E246" s="91">
        <v>1</v>
      </c>
      <c r="F246" s="121"/>
      <c r="G246" s="142">
        <f>5628-5628</f>
        <v>0</v>
      </c>
      <c r="H246" s="142">
        <f t="shared" si="3"/>
        <v>0</v>
      </c>
    </row>
    <row r="247" spans="1:8" ht="30.75" customHeight="1">
      <c r="A247" s="91">
        <v>9</v>
      </c>
      <c r="B247" s="310" t="s">
        <v>244</v>
      </c>
      <c r="C247" s="310"/>
      <c r="D247" s="310"/>
      <c r="E247" s="91">
        <v>1</v>
      </c>
      <c r="F247" s="121"/>
      <c r="G247" s="142">
        <v>40000</v>
      </c>
      <c r="H247" s="142">
        <f t="shared" si="3"/>
        <v>40000</v>
      </c>
    </row>
    <row r="248" spans="1:8" ht="15.75" customHeight="1">
      <c r="A248" s="91">
        <v>10</v>
      </c>
      <c r="B248" s="310" t="s">
        <v>245</v>
      </c>
      <c r="C248" s="310"/>
      <c r="D248" s="310"/>
      <c r="E248" s="91">
        <v>1</v>
      </c>
      <c r="F248" s="121"/>
      <c r="G248" s="142">
        <f>15000+20000+15000</f>
        <v>50000</v>
      </c>
      <c r="H248" s="142">
        <f t="shared" si="3"/>
        <v>50000</v>
      </c>
    </row>
    <row r="249" spans="1:8" ht="18.75" customHeight="1">
      <c r="A249" s="91">
        <v>11</v>
      </c>
      <c r="B249" s="308" t="s">
        <v>246</v>
      </c>
      <c r="C249" s="308"/>
      <c r="D249" s="308"/>
      <c r="E249" s="91">
        <v>1</v>
      </c>
      <c r="F249" s="121"/>
      <c r="G249" s="142">
        <f>70000-20000-15000</f>
        <v>35000</v>
      </c>
      <c r="H249" s="142">
        <f t="shared" si="3"/>
        <v>35000</v>
      </c>
    </row>
    <row r="250" spans="1:8" ht="18" customHeight="1">
      <c r="A250" s="105"/>
      <c r="B250" s="296" t="s">
        <v>118</v>
      </c>
      <c r="C250" s="296"/>
      <c r="D250" s="296"/>
      <c r="E250" s="105" t="s">
        <v>119</v>
      </c>
      <c r="F250" s="137">
        <f>SUM(F239:F247)</f>
        <v>0</v>
      </c>
      <c r="G250" s="137">
        <f>SUM(G239:G249)</f>
        <v>1192500</v>
      </c>
      <c r="H250" s="137">
        <f>SUM(H239:H249)</f>
        <v>1192500</v>
      </c>
    </row>
    <row r="251" spans="1:6" ht="15.75">
      <c r="A251" s="151"/>
      <c r="B251" s="152"/>
      <c r="C251" s="152"/>
      <c r="D251" s="152"/>
      <c r="E251" s="152"/>
      <c r="F251" s="153"/>
    </row>
    <row r="252" spans="1:8" ht="18.75">
      <c r="A252" s="315" t="s">
        <v>247</v>
      </c>
      <c r="B252" s="315"/>
      <c r="C252" s="315"/>
      <c r="D252" s="315"/>
      <c r="E252" s="315"/>
      <c r="F252" s="315"/>
      <c r="G252" s="315"/>
      <c r="H252" s="315"/>
    </row>
    <row r="253" spans="1:6" ht="12" customHeight="1">
      <c r="A253" s="109"/>
      <c r="B253" s="128"/>
      <c r="C253" s="128"/>
      <c r="D253" s="128"/>
      <c r="E253" s="128"/>
      <c r="F253" s="128"/>
    </row>
    <row r="254" spans="1:8" s="79" customFormat="1" ht="18.75" customHeight="1">
      <c r="A254" s="307" t="s">
        <v>248</v>
      </c>
      <c r="B254" s="307"/>
      <c r="C254" s="307"/>
      <c r="D254" s="307"/>
      <c r="E254" s="307"/>
      <c r="F254" s="307"/>
      <c r="G254" s="307"/>
      <c r="H254" s="307"/>
    </row>
    <row r="255" spans="1:8" ht="24" customHeight="1">
      <c r="A255" s="301" t="s">
        <v>104</v>
      </c>
      <c r="B255" s="302" t="s">
        <v>161</v>
      </c>
      <c r="C255" s="302"/>
      <c r="D255" s="302"/>
      <c r="E255" s="301" t="s">
        <v>106</v>
      </c>
      <c r="F255" s="301"/>
      <c r="G255" s="301"/>
      <c r="H255" s="302" t="s">
        <v>107</v>
      </c>
    </row>
    <row r="256" spans="1:8" ht="48">
      <c r="A256" s="301"/>
      <c r="B256" s="302"/>
      <c r="C256" s="302"/>
      <c r="D256" s="302"/>
      <c r="E256" s="301" t="s">
        <v>108</v>
      </c>
      <c r="F256" s="301"/>
      <c r="G256" s="85" t="s">
        <v>12</v>
      </c>
      <c r="H256" s="302"/>
    </row>
    <row r="257" spans="1:8" ht="29.25" customHeight="1">
      <c r="A257" s="301"/>
      <c r="B257" s="302"/>
      <c r="C257" s="302"/>
      <c r="D257" s="302"/>
      <c r="E257" s="87" t="s">
        <v>178</v>
      </c>
      <c r="F257" s="87" t="s">
        <v>112</v>
      </c>
      <c r="G257" s="100" t="s">
        <v>112</v>
      </c>
      <c r="H257" s="302"/>
    </row>
    <row r="258" spans="1:8" ht="15.75">
      <c r="A258" s="91">
        <v>1</v>
      </c>
      <c r="B258" s="303">
        <v>2</v>
      </c>
      <c r="C258" s="303"/>
      <c r="D258" s="303"/>
      <c r="E258" s="91">
        <v>3</v>
      </c>
      <c r="F258" s="91">
        <v>4</v>
      </c>
      <c r="G258" s="91">
        <v>5</v>
      </c>
      <c r="H258" s="91" t="s">
        <v>179</v>
      </c>
    </row>
    <row r="259" spans="1:8" ht="30" customHeight="1">
      <c r="A259" s="91">
        <v>1</v>
      </c>
      <c r="B259" s="305" t="s">
        <v>249</v>
      </c>
      <c r="C259" s="305"/>
      <c r="D259" s="305"/>
      <c r="E259" s="91">
        <v>1</v>
      </c>
      <c r="F259" s="121"/>
      <c r="G259" s="142">
        <v>8000</v>
      </c>
      <c r="H259" s="142">
        <f>F259+G259</f>
        <v>8000</v>
      </c>
    </row>
    <row r="260" spans="1:8" ht="18.75" customHeight="1">
      <c r="A260" s="91">
        <v>2</v>
      </c>
      <c r="B260" s="305" t="s">
        <v>250</v>
      </c>
      <c r="C260" s="305"/>
      <c r="D260" s="305"/>
      <c r="E260" s="91">
        <v>1</v>
      </c>
      <c r="F260" s="121"/>
      <c r="G260" s="142">
        <v>89000</v>
      </c>
      <c r="H260" s="142">
        <f>F260+G260</f>
        <v>89000</v>
      </c>
    </row>
    <row r="261" spans="1:8" ht="18" customHeight="1">
      <c r="A261" s="105"/>
      <c r="B261" s="296" t="s">
        <v>118</v>
      </c>
      <c r="C261" s="296"/>
      <c r="D261" s="296"/>
      <c r="E261" s="105" t="s">
        <v>119</v>
      </c>
      <c r="F261" s="137"/>
      <c r="G261" s="137">
        <f>SUM(G259:G260)</f>
        <v>97000</v>
      </c>
      <c r="H261" s="137">
        <f>SUM(H259:H260)</f>
        <v>97000</v>
      </c>
    </row>
    <row r="262" spans="1:6" ht="15.75">
      <c r="A262" s="166"/>
      <c r="B262" s="167"/>
      <c r="C262" s="167"/>
      <c r="D262" s="167"/>
      <c r="E262" s="166"/>
      <c r="F262" s="168"/>
    </row>
    <row r="263" spans="1:8" ht="18.75">
      <c r="A263" s="315" t="s">
        <v>251</v>
      </c>
      <c r="B263" s="315"/>
      <c r="C263" s="315"/>
      <c r="D263" s="315"/>
      <c r="E263" s="315"/>
      <c r="F263" s="315"/>
      <c r="G263" s="315"/>
      <c r="H263" s="315"/>
    </row>
    <row r="264" spans="1:8" ht="14.25" customHeight="1">
      <c r="A264" s="317"/>
      <c r="B264" s="317"/>
      <c r="C264" s="317"/>
      <c r="D264" s="317"/>
      <c r="E264" s="317"/>
      <c r="F264" s="317"/>
      <c r="G264" s="317"/>
      <c r="H264" s="317"/>
    </row>
    <row r="265" spans="1:8" s="79" customFormat="1" ht="18.75" customHeight="1">
      <c r="A265" s="307" t="s">
        <v>252</v>
      </c>
      <c r="B265" s="307"/>
      <c r="C265" s="307"/>
      <c r="D265" s="307"/>
      <c r="E265" s="307"/>
      <c r="F265" s="307"/>
      <c r="G265" s="307"/>
      <c r="H265" s="307"/>
    </row>
    <row r="266" spans="1:8" ht="25.5" customHeight="1">
      <c r="A266" s="301" t="s">
        <v>104</v>
      </c>
      <c r="B266" s="302" t="s">
        <v>161</v>
      </c>
      <c r="C266" s="302"/>
      <c r="D266" s="301" t="s">
        <v>106</v>
      </c>
      <c r="E266" s="301"/>
      <c r="F266" s="301"/>
      <c r="G266" s="301"/>
      <c r="H266" s="302" t="s">
        <v>107</v>
      </c>
    </row>
    <row r="267" spans="1:8" ht="48">
      <c r="A267" s="301"/>
      <c r="B267" s="302"/>
      <c r="C267" s="302"/>
      <c r="D267" s="301" t="s">
        <v>108</v>
      </c>
      <c r="E267" s="301"/>
      <c r="F267" s="301"/>
      <c r="G267" s="85" t="s">
        <v>12</v>
      </c>
      <c r="H267" s="302"/>
    </row>
    <row r="268" spans="1:8" s="84" customFormat="1" ht="33.75" customHeight="1">
      <c r="A268" s="301"/>
      <c r="B268" s="302"/>
      <c r="C268" s="302"/>
      <c r="D268" s="87" t="s">
        <v>253</v>
      </c>
      <c r="E268" s="86" t="s">
        <v>254</v>
      </c>
      <c r="F268" s="87" t="s">
        <v>112</v>
      </c>
      <c r="G268" s="100" t="s">
        <v>112</v>
      </c>
      <c r="H268" s="302"/>
    </row>
    <row r="269" spans="1:8" ht="15.75">
      <c r="A269" s="91">
        <v>1</v>
      </c>
      <c r="B269" s="303">
        <v>2</v>
      </c>
      <c r="C269" s="303"/>
      <c r="D269" s="91">
        <v>3</v>
      </c>
      <c r="E269" s="91">
        <v>4</v>
      </c>
      <c r="F269" s="91" t="s">
        <v>124</v>
      </c>
      <c r="G269" s="91">
        <v>6</v>
      </c>
      <c r="H269" s="91" t="s">
        <v>125</v>
      </c>
    </row>
    <row r="270" spans="1:8" ht="18.75" customHeight="1">
      <c r="A270" s="91">
        <v>3</v>
      </c>
      <c r="B270" s="316" t="s">
        <v>255</v>
      </c>
      <c r="C270" s="316"/>
      <c r="D270" s="147"/>
      <c r="E270" s="121"/>
      <c r="F270" s="121"/>
      <c r="G270" s="142">
        <v>100000</v>
      </c>
      <c r="H270" s="121">
        <f>F270+G270</f>
        <v>100000</v>
      </c>
    </row>
    <row r="271" spans="1:8" ht="15.75" customHeight="1">
      <c r="A271" s="91">
        <v>6</v>
      </c>
      <c r="B271" s="316" t="s">
        <v>256</v>
      </c>
      <c r="C271" s="316"/>
      <c r="D271" s="121"/>
      <c r="E271" s="121"/>
      <c r="F271" s="121"/>
      <c r="G271" s="142">
        <v>125000</v>
      </c>
      <c r="H271" s="121">
        <f>F271+G271</f>
        <v>125000</v>
      </c>
    </row>
    <row r="272" spans="1:8" ht="15" customHeight="1">
      <c r="A272" s="91">
        <v>7</v>
      </c>
      <c r="B272" s="316" t="s">
        <v>257</v>
      </c>
      <c r="C272" s="316"/>
      <c r="D272" s="121"/>
      <c r="E272" s="121"/>
      <c r="F272" s="121"/>
      <c r="G272" s="142">
        <v>100000</v>
      </c>
      <c r="H272" s="121">
        <f>F272+G272</f>
        <v>100000</v>
      </c>
    </row>
    <row r="273" spans="1:8" ht="16.5" customHeight="1">
      <c r="A273" s="91">
        <v>8</v>
      </c>
      <c r="B273" s="316" t="s">
        <v>258</v>
      </c>
      <c r="C273" s="316"/>
      <c r="D273" s="121"/>
      <c r="E273" s="121"/>
      <c r="F273" s="121"/>
      <c r="G273" s="142">
        <v>675000</v>
      </c>
      <c r="H273" s="121">
        <f>F273+G273</f>
        <v>675000</v>
      </c>
    </row>
    <row r="274" spans="1:8" ht="15.75" customHeight="1">
      <c r="A274" s="105"/>
      <c r="B274" s="296" t="s">
        <v>118</v>
      </c>
      <c r="C274" s="296"/>
      <c r="D274" s="296"/>
      <c r="E274" s="105" t="s">
        <v>119</v>
      </c>
      <c r="F274" s="137">
        <f>SUM(F270:F273)</f>
        <v>0</v>
      </c>
      <c r="G274" s="137">
        <f>SUM(G270:G273)</f>
        <v>1000000</v>
      </c>
      <c r="H274" s="137">
        <f>SUM(H270:H273)</f>
        <v>1000000</v>
      </c>
    </row>
    <row r="275" spans="1:6" ht="16.5" customHeight="1">
      <c r="A275" s="166"/>
      <c r="B275" s="169"/>
      <c r="C275" s="169"/>
      <c r="D275" s="168"/>
      <c r="E275" s="168"/>
      <c r="F275" s="168"/>
    </row>
    <row r="276" spans="1:8" ht="18.75">
      <c r="A276" s="315" t="s">
        <v>259</v>
      </c>
      <c r="B276" s="315"/>
      <c r="C276" s="315"/>
      <c r="D276" s="315"/>
      <c r="E276" s="315"/>
      <c r="F276" s="315"/>
      <c r="G276" s="315"/>
      <c r="H276" s="315"/>
    </row>
    <row r="277" spans="1:8" s="79" customFormat="1" ht="18.75" customHeight="1">
      <c r="A277" s="300" t="s">
        <v>260</v>
      </c>
      <c r="B277" s="300"/>
      <c r="C277" s="300"/>
      <c r="D277" s="300"/>
      <c r="E277" s="300"/>
      <c r="F277" s="300"/>
      <c r="G277" s="300"/>
      <c r="H277" s="300"/>
    </row>
    <row r="278" spans="1:8" ht="20.25" customHeight="1">
      <c r="A278" s="301" t="s">
        <v>104</v>
      </c>
      <c r="B278" s="302" t="s">
        <v>161</v>
      </c>
      <c r="C278" s="302"/>
      <c r="D278" s="301" t="s">
        <v>106</v>
      </c>
      <c r="E278" s="301"/>
      <c r="F278" s="301"/>
      <c r="G278" s="301"/>
      <c r="H278" s="302" t="s">
        <v>107</v>
      </c>
    </row>
    <row r="279" spans="1:8" ht="52.5" customHeight="1">
      <c r="A279" s="301"/>
      <c r="B279" s="302"/>
      <c r="C279" s="302"/>
      <c r="D279" s="301" t="s">
        <v>108</v>
      </c>
      <c r="E279" s="301"/>
      <c r="F279" s="301"/>
      <c r="G279" s="85" t="s">
        <v>12</v>
      </c>
      <c r="H279" s="302"/>
    </row>
    <row r="280" spans="1:8" s="84" customFormat="1" ht="30.75" customHeight="1">
      <c r="A280" s="301"/>
      <c r="B280" s="302"/>
      <c r="C280" s="302"/>
      <c r="D280" s="87" t="s">
        <v>253</v>
      </c>
      <c r="E280" s="86" t="s">
        <v>254</v>
      </c>
      <c r="F280" s="87" t="s">
        <v>112</v>
      </c>
      <c r="G280" s="100" t="s">
        <v>112</v>
      </c>
      <c r="H280" s="302"/>
    </row>
    <row r="281" spans="1:8" ht="15.75">
      <c r="A281" s="91">
        <v>1</v>
      </c>
      <c r="B281" s="303">
        <v>2</v>
      </c>
      <c r="C281" s="303"/>
      <c r="D281" s="91">
        <v>3</v>
      </c>
      <c r="E281" s="91">
        <v>4</v>
      </c>
      <c r="F281" s="91" t="s">
        <v>124</v>
      </c>
      <c r="G281" s="91">
        <v>6</v>
      </c>
      <c r="H281" s="91" t="s">
        <v>125</v>
      </c>
    </row>
    <row r="282" spans="1:8" ht="28.5" customHeight="1">
      <c r="A282" s="170" t="s">
        <v>261</v>
      </c>
      <c r="B282" s="304" t="s">
        <v>62</v>
      </c>
      <c r="C282" s="304"/>
      <c r="D282" s="304"/>
      <c r="E282" s="304"/>
      <c r="F282" s="105" t="s">
        <v>119</v>
      </c>
      <c r="G282" s="143" t="s">
        <v>16</v>
      </c>
      <c r="H282" s="143" t="s">
        <v>16</v>
      </c>
    </row>
    <row r="283" spans="1:8" ht="18.75" customHeight="1">
      <c r="A283" s="91">
        <v>1</v>
      </c>
      <c r="B283" s="305" t="s">
        <v>262</v>
      </c>
      <c r="C283" s="305"/>
      <c r="D283" s="121">
        <v>1500</v>
      </c>
      <c r="E283" s="121">
        <f>F283/D283</f>
        <v>0</v>
      </c>
      <c r="F283" s="121"/>
      <c r="G283" s="142">
        <v>1325000</v>
      </c>
      <c r="H283" s="142">
        <f>F283+G283</f>
        <v>1325000</v>
      </c>
    </row>
    <row r="284" spans="1:8" ht="50.25" customHeight="1">
      <c r="A284" s="91">
        <v>2</v>
      </c>
      <c r="B284" s="308" t="s">
        <v>263</v>
      </c>
      <c r="C284" s="308"/>
      <c r="D284" s="121"/>
      <c r="E284" s="121"/>
      <c r="F284" s="121">
        <f>D284*E284</f>
        <v>0</v>
      </c>
      <c r="G284" s="142"/>
      <c r="H284" s="142">
        <f>F284+G284</f>
        <v>0</v>
      </c>
    </row>
    <row r="285" spans="1:8" ht="16.5" customHeight="1">
      <c r="A285" s="91">
        <v>3</v>
      </c>
      <c r="B285" s="308" t="s">
        <v>264</v>
      </c>
      <c r="C285" s="308"/>
      <c r="D285" s="121"/>
      <c r="E285" s="121"/>
      <c r="F285" s="121">
        <f>D285*E285</f>
        <v>0</v>
      </c>
      <c r="G285" s="142">
        <f>100000-100000</f>
        <v>0</v>
      </c>
      <c r="H285" s="142">
        <f>F285+G285</f>
        <v>0</v>
      </c>
    </row>
    <row r="286" spans="1:8" ht="18" customHeight="1">
      <c r="A286" s="105"/>
      <c r="B286" s="296" t="s">
        <v>118</v>
      </c>
      <c r="C286" s="296"/>
      <c r="D286" s="296"/>
      <c r="E286" s="105" t="s">
        <v>119</v>
      </c>
      <c r="F286" s="137">
        <f>SUM(F283:F285)</f>
        <v>0</v>
      </c>
      <c r="G286" s="137">
        <f>SUM(G283:G285)</f>
        <v>1325000</v>
      </c>
      <c r="H286" s="137">
        <f>SUM(H283:H285)</f>
        <v>1325000</v>
      </c>
    </row>
    <row r="287" spans="1:6" ht="12" customHeight="1">
      <c r="A287" s="166"/>
      <c r="B287" s="169"/>
      <c r="C287" s="169"/>
      <c r="D287" s="168"/>
      <c r="E287" s="168"/>
      <c r="F287" s="168"/>
    </row>
    <row r="288" spans="1:8" s="79" customFormat="1" ht="17.25" customHeight="1">
      <c r="A288" s="307" t="s">
        <v>265</v>
      </c>
      <c r="B288" s="307"/>
      <c r="C288" s="307"/>
      <c r="D288" s="307"/>
      <c r="E288" s="307"/>
      <c r="F288" s="307"/>
      <c r="G288" s="307"/>
      <c r="H288" s="307"/>
    </row>
    <row r="289" spans="1:8" ht="12.75" customHeight="1">
      <c r="A289" s="301" t="s">
        <v>104</v>
      </c>
      <c r="B289" s="302" t="s">
        <v>161</v>
      </c>
      <c r="C289" s="302"/>
      <c r="D289" s="301" t="s">
        <v>106</v>
      </c>
      <c r="E289" s="301"/>
      <c r="F289" s="301"/>
      <c r="G289" s="301"/>
      <c r="H289" s="302" t="s">
        <v>107</v>
      </c>
    </row>
    <row r="290" spans="1:8" ht="48">
      <c r="A290" s="301"/>
      <c r="B290" s="302"/>
      <c r="C290" s="302"/>
      <c r="D290" s="301" t="s">
        <v>108</v>
      </c>
      <c r="E290" s="301"/>
      <c r="F290" s="301"/>
      <c r="G290" s="85" t="s">
        <v>12</v>
      </c>
      <c r="H290" s="302"/>
    </row>
    <row r="291" spans="1:8" s="84" customFormat="1" ht="27.75" customHeight="1">
      <c r="A291" s="301"/>
      <c r="B291" s="302"/>
      <c r="C291" s="302"/>
      <c r="D291" s="87" t="s">
        <v>253</v>
      </c>
      <c r="E291" s="86" t="s">
        <v>254</v>
      </c>
      <c r="F291" s="87" t="s">
        <v>112</v>
      </c>
      <c r="G291" s="100" t="s">
        <v>112</v>
      </c>
      <c r="H291" s="302"/>
    </row>
    <row r="292" spans="1:8" ht="15.75">
      <c r="A292" s="91">
        <v>1</v>
      </c>
      <c r="B292" s="303">
        <v>2</v>
      </c>
      <c r="C292" s="303"/>
      <c r="D292" s="91">
        <v>3</v>
      </c>
      <c r="E292" s="91">
        <v>4</v>
      </c>
      <c r="F292" s="91" t="s">
        <v>124</v>
      </c>
      <c r="G292" s="91">
        <v>6</v>
      </c>
      <c r="H292" s="91" t="s">
        <v>125</v>
      </c>
    </row>
    <row r="293" spans="1:8" ht="12" customHeight="1">
      <c r="A293" s="170" t="s">
        <v>266</v>
      </c>
      <c r="B293" s="304" t="s">
        <v>63</v>
      </c>
      <c r="C293" s="304"/>
      <c r="D293" s="304"/>
      <c r="E293" s="304"/>
      <c r="F293" s="105" t="s">
        <v>119</v>
      </c>
      <c r="G293" s="143" t="s">
        <v>16</v>
      </c>
      <c r="H293" s="143" t="s">
        <v>16</v>
      </c>
    </row>
    <row r="294" spans="1:8" ht="31.5" customHeight="1">
      <c r="A294" s="171">
        <v>1</v>
      </c>
      <c r="B294" s="313" t="s">
        <v>267</v>
      </c>
      <c r="C294" s="313"/>
      <c r="D294" s="164" t="s">
        <v>34</v>
      </c>
      <c r="E294" s="164" t="s">
        <v>380</v>
      </c>
      <c r="F294" s="164">
        <v>17303800</v>
      </c>
      <c r="G294" s="165">
        <v>14862000</v>
      </c>
      <c r="H294" s="165">
        <f>F294+G294</f>
        <v>32165800</v>
      </c>
    </row>
    <row r="295" spans="1:8" ht="18" customHeight="1">
      <c r="A295" s="105"/>
      <c r="B295" s="296" t="s">
        <v>118</v>
      </c>
      <c r="C295" s="296"/>
      <c r="D295" s="296"/>
      <c r="E295" s="105" t="s">
        <v>119</v>
      </c>
      <c r="F295" s="137">
        <f>SUM(F294)</f>
        <v>17303800</v>
      </c>
      <c r="G295" s="137">
        <f>SUM(G294)</f>
        <v>14862000</v>
      </c>
      <c r="H295" s="137">
        <f>SUM(H294)</f>
        <v>32165800</v>
      </c>
    </row>
    <row r="296" spans="1:8" ht="14.25" customHeight="1">
      <c r="A296" s="314" t="s">
        <v>401</v>
      </c>
      <c r="B296" s="314"/>
      <c r="C296" s="314"/>
      <c r="D296" s="314"/>
      <c r="E296" s="314"/>
      <c r="F296" s="314"/>
      <c r="G296" s="314"/>
      <c r="H296" s="314"/>
    </row>
    <row r="297" spans="1:6" ht="18" customHeight="1" hidden="1">
      <c r="A297" s="166"/>
      <c r="B297" s="113"/>
      <c r="C297" s="113"/>
      <c r="D297" s="168"/>
      <c r="E297" s="139"/>
      <c r="F297" s="139"/>
    </row>
    <row r="298" spans="1:6" ht="18" customHeight="1">
      <c r="A298" s="166"/>
      <c r="B298" s="113"/>
      <c r="C298" s="113"/>
      <c r="D298" s="168"/>
      <c r="E298" s="139"/>
      <c r="F298" s="139"/>
    </row>
    <row r="299" spans="1:8" s="79" customFormat="1" ht="18" customHeight="1">
      <c r="A299" s="307" t="s">
        <v>268</v>
      </c>
      <c r="B299" s="307"/>
      <c r="C299" s="307"/>
      <c r="D299" s="307"/>
      <c r="E299" s="307"/>
      <c r="F299" s="307"/>
      <c r="G299" s="307"/>
      <c r="H299" s="307"/>
    </row>
    <row r="300" spans="1:8" ht="14.25" customHeight="1">
      <c r="A300" s="301" t="s">
        <v>104</v>
      </c>
      <c r="B300" s="302" t="s">
        <v>161</v>
      </c>
      <c r="C300" s="302"/>
      <c r="D300" s="301" t="s">
        <v>106</v>
      </c>
      <c r="E300" s="301"/>
      <c r="F300" s="301"/>
      <c r="G300" s="301"/>
      <c r="H300" s="302" t="s">
        <v>107</v>
      </c>
    </row>
    <row r="301" spans="1:8" ht="48">
      <c r="A301" s="301"/>
      <c r="B301" s="302"/>
      <c r="C301" s="302"/>
      <c r="D301" s="301" t="s">
        <v>108</v>
      </c>
      <c r="E301" s="301"/>
      <c r="F301" s="301"/>
      <c r="G301" s="85" t="s">
        <v>12</v>
      </c>
      <c r="H301" s="302"/>
    </row>
    <row r="302" spans="1:8" s="84" customFormat="1" ht="29.25" customHeight="1">
      <c r="A302" s="301"/>
      <c r="B302" s="302"/>
      <c r="C302" s="302"/>
      <c r="D302" s="87" t="s">
        <v>253</v>
      </c>
      <c r="E302" s="86" t="s">
        <v>254</v>
      </c>
      <c r="F302" s="87" t="s">
        <v>112</v>
      </c>
      <c r="G302" s="100" t="s">
        <v>112</v>
      </c>
      <c r="H302" s="302"/>
    </row>
    <row r="303" spans="1:8" ht="15.75">
      <c r="A303" s="91">
        <v>1</v>
      </c>
      <c r="B303" s="303">
        <v>2</v>
      </c>
      <c r="C303" s="303"/>
      <c r="D303" s="91">
        <v>3</v>
      </c>
      <c r="E303" s="91">
        <v>4</v>
      </c>
      <c r="F303" s="91" t="s">
        <v>124</v>
      </c>
      <c r="G303" s="91">
        <v>6</v>
      </c>
      <c r="H303" s="91" t="s">
        <v>125</v>
      </c>
    </row>
    <row r="304" spans="1:8" ht="14.25" customHeight="1">
      <c r="A304" s="170" t="s">
        <v>269</v>
      </c>
      <c r="B304" s="304" t="s">
        <v>64</v>
      </c>
      <c r="C304" s="304"/>
      <c r="D304" s="304"/>
      <c r="E304" s="304"/>
      <c r="F304" s="105" t="s">
        <v>119</v>
      </c>
      <c r="G304" s="143" t="s">
        <v>16</v>
      </c>
      <c r="H304" s="143" t="s">
        <v>16</v>
      </c>
    </row>
    <row r="305" spans="1:8" ht="19.5" customHeight="1">
      <c r="A305" s="91">
        <v>1</v>
      </c>
      <c r="B305" s="305" t="s">
        <v>270</v>
      </c>
      <c r="C305" s="305"/>
      <c r="D305" s="121"/>
      <c r="E305" s="121"/>
      <c r="F305" s="121"/>
      <c r="G305" s="142">
        <f>105000+150000-155000+1000+300000-1000</f>
        <v>400000</v>
      </c>
      <c r="H305" s="142">
        <f>F305+G305</f>
        <v>400000</v>
      </c>
    </row>
    <row r="306" spans="1:8" ht="18" customHeight="1">
      <c r="A306" s="105"/>
      <c r="B306" s="296" t="s">
        <v>118</v>
      </c>
      <c r="C306" s="296"/>
      <c r="D306" s="296"/>
      <c r="E306" s="105" t="s">
        <v>119</v>
      </c>
      <c r="F306" s="137">
        <f>SUM(F305)</f>
        <v>0</v>
      </c>
      <c r="G306" s="137">
        <f>SUM(G305)</f>
        <v>400000</v>
      </c>
      <c r="H306" s="137">
        <f>SUM(H305)</f>
        <v>400000</v>
      </c>
    </row>
    <row r="307" spans="1:8" ht="15.75" customHeight="1">
      <c r="A307" s="113"/>
      <c r="B307" s="138"/>
      <c r="C307" s="138"/>
      <c r="D307" s="138"/>
      <c r="E307" s="113"/>
      <c r="F307" s="139"/>
      <c r="G307" s="139"/>
      <c r="H307" s="139"/>
    </row>
    <row r="308" spans="1:8" s="79" customFormat="1" ht="18.75" customHeight="1">
      <c r="A308" s="307" t="s">
        <v>271</v>
      </c>
      <c r="B308" s="307"/>
      <c r="C308" s="307"/>
      <c r="D308" s="307"/>
      <c r="E308" s="307"/>
      <c r="F308" s="307"/>
      <c r="G308" s="307"/>
      <c r="H308" s="307"/>
    </row>
    <row r="309" spans="1:8" ht="16.5" customHeight="1">
      <c r="A309" s="301" t="s">
        <v>104</v>
      </c>
      <c r="B309" s="302" t="s">
        <v>161</v>
      </c>
      <c r="C309" s="302"/>
      <c r="D309" s="301" t="s">
        <v>106</v>
      </c>
      <c r="E309" s="301"/>
      <c r="F309" s="301"/>
      <c r="G309" s="301"/>
      <c r="H309" s="302" t="s">
        <v>107</v>
      </c>
    </row>
    <row r="310" spans="1:8" ht="48">
      <c r="A310" s="301"/>
      <c r="B310" s="302"/>
      <c r="C310" s="302"/>
      <c r="D310" s="301" t="s">
        <v>108</v>
      </c>
      <c r="E310" s="301"/>
      <c r="F310" s="301"/>
      <c r="G310" s="85" t="s">
        <v>12</v>
      </c>
      <c r="H310" s="302"/>
    </row>
    <row r="311" spans="1:8" s="84" customFormat="1" ht="27" customHeight="1">
      <c r="A311" s="301"/>
      <c r="B311" s="302"/>
      <c r="C311" s="302"/>
      <c r="D311" s="87" t="s">
        <v>253</v>
      </c>
      <c r="E311" s="86" t="s">
        <v>254</v>
      </c>
      <c r="F311" s="87" t="s">
        <v>112</v>
      </c>
      <c r="G311" s="100" t="s">
        <v>112</v>
      </c>
      <c r="H311" s="302"/>
    </row>
    <row r="312" spans="1:8" ht="15.75">
      <c r="A312" s="91">
        <v>1</v>
      </c>
      <c r="B312" s="303">
        <v>2</v>
      </c>
      <c r="C312" s="303"/>
      <c r="D312" s="91">
        <v>3</v>
      </c>
      <c r="E312" s="91">
        <v>4</v>
      </c>
      <c r="F312" s="91" t="s">
        <v>124</v>
      </c>
      <c r="G312" s="91">
        <v>6</v>
      </c>
      <c r="H312" s="91" t="s">
        <v>125</v>
      </c>
    </row>
    <row r="313" spans="1:8" ht="14.25" customHeight="1">
      <c r="A313" s="170" t="s">
        <v>272</v>
      </c>
      <c r="B313" s="304" t="s">
        <v>65</v>
      </c>
      <c r="C313" s="304"/>
      <c r="D313" s="304"/>
      <c r="E313" s="304"/>
      <c r="F313" s="105" t="s">
        <v>119</v>
      </c>
      <c r="G313" s="143" t="s">
        <v>16</v>
      </c>
      <c r="H313" s="143" t="s">
        <v>16</v>
      </c>
    </row>
    <row r="314" spans="1:8" ht="27" customHeight="1">
      <c r="A314" s="91">
        <v>1</v>
      </c>
      <c r="B314" s="305" t="s">
        <v>273</v>
      </c>
      <c r="C314" s="305"/>
      <c r="D314" s="121"/>
      <c r="E314" s="121"/>
      <c r="F314" s="121">
        <v>0</v>
      </c>
      <c r="G314" s="142">
        <v>575000</v>
      </c>
      <c r="H314" s="142">
        <f>F314+G314</f>
        <v>575000</v>
      </c>
    </row>
    <row r="315" spans="1:8" ht="18" customHeight="1">
      <c r="A315" s="105"/>
      <c r="B315" s="296" t="s">
        <v>118</v>
      </c>
      <c r="C315" s="296"/>
      <c r="D315" s="296"/>
      <c r="E315" s="105" t="s">
        <v>119</v>
      </c>
      <c r="F315" s="137">
        <f>SUM(F314)</f>
        <v>0</v>
      </c>
      <c r="G315" s="137">
        <f>SUM(G314)</f>
        <v>575000</v>
      </c>
      <c r="H315" s="137">
        <f>SUM(H314)</f>
        <v>575000</v>
      </c>
    </row>
    <row r="316" spans="1:6" ht="13.5" customHeight="1">
      <c r="A316" s="166"/>
      <c r="B316" s="113"/>
      <c r="C316" s="113"/>
      <c r="D316" s="168"/>
      <c r="E316" s="139"/>
      <c r="F316" s="139"/>
    </row>
    <row r="317" spans="1:8" s="79" customFormat="1" ht="18.75" customHeight="1">
      <c r="A317" s="307" t="s">
        <v>274</v>
      </c>
      <c r="B317" s="307"/>
      <c r="C317" s="307"/>
      <c r="D317" s="307"/>
      <c r="E317" s="307"/>
      <c r="F317" s="307"/>
      <c r="G317" s="307"/>
      <c r="H317" s="307"/>
    </row>
    <row r="318" spans="1:8" ht="15.75" customHeight="1">
      <c r="A318" s="301" t="s">
        <v>104</v>
      </c>
      <c r="B318" s="302" t="s">
        <v>161</v>
      </c>
      <c r="C318" s="302"/>
      <c r="D318" s="301" t="s">
        <v>106</v>
      </c>
      <c r="E318" s="301"/>
      <c r="F318" s="301"/>
      <c r="G318" s="301"/>
      <c r="H318" s="302" t="s">
        <v>107</v>
      </c>
    </row>
    <row r="319" spans="1:8" ht="50.25" customHeight="1">
      <c r="A319" s="301"/>
      <c r="B319" s="302"/>
      <c r="C319" s="302"/>
      <c r="D319" s="301" t="s">
        <v>108</v>
      </c>
      <c r="E319" s="301"/>
      <c r="F319" s="301"/>
      <c r="G319" s="132" t="s">
        <v>12</v>
      </c>
      <c r="H319" s="302"/>
    </row>
    <row r="320" spans="1:8" s="84" customFormat="1" ht="28.5" customHeight="1">
      <c r="A320" s="301"/>
      <c r="B320" s="302"/>
      <c r="C320" s="302"/>
      <c r="D320" s="87" t="s">
        <v>253</v>
      </c>
      <c r="E320" s="86" t="s">
        <v>254</v>
      </c>
      <c r="F320" s="87" t="s">
        <v>112</v>
      </c>
      <c r="G320" s="100" t="s">
        <v>112</v>
      </c>
      <c r="H320" s="302"/>
    </row>
    <row r="321" spans="1:8" ht="15.75">
      <c r="A321" s="91">
        <v>1</v>
      </c>
      <c r="B321" s="303">
        <v>2</v>
      </c>
      <c r="C321" s="303"/>
      <c r="D321" s="91">
        <v>3</v>
      </c>
      <c r="E321" s="91">
        <v>4</v>
      </c>
      <c r="F321" s="91" t="s">
        <v>124</v>
      </c>
      <c r="G321" s="91">
        <v>6</v>
      </c>
      <c r="H321" s="91" t="s">
        <v>125</v>
      </c>
    </row>
    <row r="322" spans="1:8" s="173" customFormat="1" ht="15.75" customHeight="1">
      <c r="A322" s="172" t="s">
        <v>275</v>
      </c>
      <c r="B322" s="304" t="s">
        <v>66</v>
      </c>
      <c r="C322" s="304"/>
      <c r="D322" s="304"/>
      <c r="E322" s="304"/>
      <c r="F322" s="105" t="s">
        <v>119</v>
      </c>
      <c r="G322" s="143" t="s">
        <v>16</v>
      </c>
      <c r="H322" s="143" t="s">
        <v>16</v>
      </c>
    </row>
    <row r="323" spans="1:8" ht="24.75" customHeight="1">
      <c r="A323" s="91">
        <v>1</v>
      </c>
      <c r="B323" s="308" t="s">
        <v>276</v>
      </c>
      <c r="C323" s="308"/>
      <c r="D323" s="121">
        <v>69540</v>
      </c>
      <c r="E323" s="121">
        <f>F323/D323</f>
        <v>0</v>
      </c>
      <c r="F323" s="121"/>
      <c r="G323" s="142">
        <f>2000000-550000-1000000</f>
        <v>450000</v>
      </c>
      <c r="H323" s="142">
        <f>F323+G323</f>
        <v>450000</v>
      </c>
    </row>
    <row r="324" spans="1:8" ht="31.5" customHeight="1">
      <c r="A324" s="91">
        <v>2</v>
      </c>
      <c r="B324" s="312" t="s">
        <v>277</v>
      </c>
      <c r="C324" s="312"/>
      <c r="D324" s="121"/>
      <c r="E324" s="121"/>
      <c r="F324" s="121"/>
      <c r="G324" s="174">
        <f>242400+50000-150000</f>
        <v>142400</v>
      </c>
      <c r="H324" s="142">
        <f>F324+G324</f>
        <v>142400</v>
      </c>
    </row>
    <row r="325" spans="1:8" ht="42.75" customHeight="1">
      <c r="A325" s="91">
        <v>3</v>
      </c>
      <c r="B325" s="312" t="s">
        <v>278</v>
      </c>
      <c r="C325" s="312"/>
      <c r="D325" s="121">
        <v>2</v>
      </c>
      <c r="E325" s="121">
        <f>F325/D325</f>
        <v>0</v>
      </c>
      <c r="F325" s="121"/>
      <c r="G325" s="174">
        <f>83300-25000-56060+60</f>
        <v>2300</v>
      </c>
      <c r="H325" s="142">
        <f>F325+G325</f>
        <v>2300</v>
      </c>
    </row>
    <row r="326" spans="1:8" ht="30.75" customHeight="1">
      <c r="A326" s="91">
        <v>4</v>
      </c>
      <c r="B326" s="312" t="s">
        <v>279</v>
      </c>
      <c r="C326" s="312"/>
      <c r="D326" s="121">
        <v>350</v>
      </c>
      <c r="E326" s="121">
        <f>F326/D326</f>
        <v>0</v>
      </c>
      <c r="F326" s="121">
        <f>686400-686400</f>
        <v>0</v>
      </c>
      <c r="G326" s="174"/>
      <c r="H326" s="142">
        <f>F326+G326</f>
        <v>0</v>
      </c>
    </row>
    <row r="327" spans="1:8" ht="15.75" customHeight="1">
      <c r="A327" s="91">
        <v>5</v>
      </c>
      <c r="B327" s="311" t="s">
        <v>280</v>
      </c>
      <c r="C327" s="311"/>
      <c r="D327" s="121"/>
      <c r="E327" s="121"/>
      <c r="F327" s="121">
        <v>0</v>
      </c>
      <c r="G327" s="174">
        <v>400000</v>
      </c>
      <c r="H327" s="142">
        <f>F327+G327</f>
        <v>400000</v>
      </c>
    </row>
    <row r="328" spans="1:8" ht="18" customHeight="1">
      <c r="A328" s="105"/>
      <c r="B328" s="296" t="s">
        <v>118</v>
      </c>
      <c r="C328" s="296"/>
      <c r="D328" s="296"/>
      <c r="E328" s="105" t="s">
        <v>119</v>
      </c>
      <c r="F328" s="137">
        <f>SUM(F323:F327)</f>
        <v>0</v>
      </c>
      <c r="G328" s="137">
        <f>SUM(G323:G327)</f>
        <v>994700</v>
      </c>
      <c r="H328" s="137">
        <f>SUM(H323:H327)</f>
        <v>994700</v>
      </c>
    </row>
    <row r="329" spans="1:6" ht="17.25" customHeight="1">
      <c r="A329" s="166"/>
      <c r="B329" s="113"/>
      <c r="C329" s="113"/>
      <c r="D329" s="168"/>
      <c r="E329" s="139"/>
      <c r="F329" s="139"/>
    </row>
    <row r="330" spans="1:8" s="79" customFormat="1" ht="16.5" customHeight="1">
      <c r="A330" s="307" t="s">
        <v>281</v>
      </c>
      <c r="B330" s="307"/>
      <c r="C330" s="307"/>
      <c r="D330" s="307"/>
      <c r="E330" s="307"/>
      <c r="F330" s="307"/>
      <c r="G330" s="307"/>
      <c r="H330" s="307"/>
    </row>
    <row r="331" spans="1:8" ht="15" customHeight="1">
      <c r="A331" s="301" t="s">
        <v>104</v>
      </c>
      <c r="B331" s="302" t="s">
        <v>161</v>
      </c>
      <c r="C331" s="302"/>
      <c r="D331" s="301" t="s">
        <v>106</v>
      </c>
      <c r="E331" s="301"/>
      <c r="F331" s="301"/>
      <c r="G331" s="301"/>
      <c r="H331" s="302" t="s">
        <v>107</v>
      </c>
    </row>
    <row r="332" spans="1:8" ht="48">
      <c r="A332" s="301"/>
      <c r="B332" s="302"/>
      <c r="C332" s="302"/>
      <c r="D332" s="301" t="s">
        <v>108</v>
      </c>
      <c r="E332" s="301"/>
      <c r="F332" s="301"/>
      <c r="G332" s="85" t="s">
        <v>12</v>
      </c>
      <c r="H332" s="302"/>
    </row>
    <row r="333" spans="1:8" s="84" customFormat="1" ht="28.5" customHeight="1">
      <c r="A333" s="301"/>
      <c r="B333" s="302"/>
      <c r="C333" s="302"/>
      <c r="D333" s="87" t="s">
        <v>253</v>
      </c>
      <c r="E333" s="86" t="s">
        <v>254</v>
      </c>
      <c r="F333" s="87" t="s">
        <v>112</v>
      </c>
      <c r="G333" s="100" t="s">
        <v>112</v>
      </c>
      <c r="H333" s="302"/>
    </row>
    <row r="334" spans="1:8" ht="15.75">
      <c r="A334" s="91">
        <v>1</v>
      </c>
      <c r="B334" s="303">
        <v>2</v>
      </c>
      <c r="C334" s="303"/>
      <c r="D334" s="91">
        <v>3</v>
      </c>
      <c r="E334" s="91">
        <v>4</v>
      </c>
      <c r="F334" s="91" t="s">
        <v>124</v>
      </c>
      <c r="G334" s="91">
        <v>6</v>
      </c>
      <c r="H334" s="91" t="s">
        <v>125</v>
      </c>
    </row>
    <row r="335" spans="1:8" s="173" customFormat="1" ht="21.75" customHeight="1">
      <c r="A335" s="170" t="s">
        <v>282</v>
      </c>
      <c r="B335" s="304" t="s">
        <v>67</v>
      </c>
      <c r="C335" s="304"/>
      <c r="D335" s="304"/>
      <c r="E335" s="304"/>
      <c r="F335" s="105" t="s">
        <v>119</v>
      </c>
      <c r="G335" s="105" t="s">
        <v>119</v>
      </c>
      <c r="H335" s="105" t="s">
        <v>119</v>
      </c>
    </row>
    <row r="336" spans="1:8" ht="29.25" customHeight="1">
      <c r="A336" s="91">
        <v>1</v>
      </c>
      <c r="B336" s="305" t="s">
        <v>398</v>
      </c>
      <c r="C336" s="305"/>
      <c r="D336" s="121">
        <v>10000</v>
      </c>
      <c r="E336" s="121">
        <f aca="true" t="shared" si="4" ref="E336:E341">F336/D336</f>
        <v>0</v>
      </c>
      <c r="F336" s="121"/>
      <c r="G336" s="142">
        <v>0</v>
      </c>
      <c r="H336" s="142">
        <f aca="true" t="shared" si="5" ref="H336:H344">F336+G336</f>
        <v>0</v>
      </c>
    </row>
    <row r="337" spans="1:8" ht="36.75" customHeight="1">
      <c r="A337" s="91">
        <v>2</v>
      </c>
      <c r="B337" s="309" t="s">
        <v>284</v>
      </c>
      <c r="C337" s="309"/>
      <c r="D337" s="121">
        <v>2000</v>
      </c>
      <c r="E337" s="121">
        <f t="shared" si="4"/>
        <v>0</v>
      </c>
      <c r="F337" s="121"/>
      <c r="G337" s="142">
        <v>300000</v>
      </c>
      <c r="H337" s="142">
        <f t="shared" si="5"/>
        <v>300000</v>
      </c>
    </row>
    <row r="338" spans="1:8" ht="34.5" customHeight="1">
      <c r="A338" s="91">
        <v>3</v>
      </c>
      <c r="B338" s="310" t="s">
        <v>285</v>
      </c>
      <c r="C338" s="310"/>
      <c r="D338" s="121">
        <v>1000</v>
      </c>
      <c r="E338" s="121">
        <f t="shared" si="4"/>
        <v>0</v>
      </c>
      <c r="F338" s="121"/>
      <c r="G338" s="142">
        <v>800000</v>
      </c>
      <c r="H338" s="142">
        <f t="shared" si="5"/>
        <v>800000</v>
      </c>
    </row>
    <row r="339" spans="1:8" ht="18.75" customHeight="1">
      <c r="A339" s="91">
        <v>4</v>
      </c>
      <c r="B339" s="310" t="s">
        <v>286</v>
      </c>
      <c r="C339" s="310"/>
      <c r="D339" s="121">
        <v>1000</v>
      </c>
      <c r="E339" s="121">
        <f t="shared" si="4"/>
        <v>0</v>
      </c>
      <c r="F339" s="121"/>
      <c r="G339" s="142">
        <f>10500-10500</f>
        <v>0</v>
      </c>
      <c r="H339" s="142">
        <f t="shared" si="5"/>
        <v>0</v>
      </c>
    </row>
    <row r="340" spans="1:8" ht="21.75" customHeight="1">
      <c r="A340" s="91">
        <v>5</v>
      </c>
      <c r="B340" s="308" t="s">
        <v>287</v>
      </c>
      <c r="C340" s="308"/>
      <c r="D340" s="121">
        <f>200-200+120</f>
        <v>120</v>
      </c>
      <c r="E340" s="121">
        <f t="shared" si="4"/>
        <v>0</v>
      </c>
      <c r="F340" s="121"/>
      <c r="G340" s="142">
        <f>5000-5000</f>
        <v>0</v>
      </c>
      <c r="H340" s="142">
        <f t="shared" si="5"/>
        <v>0</v>
      </c>
    </row>
    <row r="341" spans="1:8" ht="15.75" customHeight="1">
      <c r="A341" s="91">
        <v>6</v>
      </c>
      <c r="B341" s="308" t="s">
        <v>288</v>
      </c>
      <c r="C341" s="308"/>
      <c r="D341" s="121">
        <v>1000</v>
      </c>
      <c r="E341" s="121">
        <f t="shared" si="4"/>
        <v>0</v>
      </c>
      <c r="F341" s="121"/>
      <c r="G341" s="142">
        <v>150000</v>
      </c>
      <c r="H341" s="142">
        <f t="shared" si="5"/>
        <v>150000</v>
      </c>
    </row>
    <row r="342" spans="1:8" ht="15.75" customHeight="1">
      <c r="A342" s="91">
        <v>7</v>
      </c>
      <c r="B342" s="308" t="s">
        <v>289</v>
      </c>
      <c r="C342" s="308"/>
      <c r="D342" s="121"/>
      <c r="E342" s="121"/>
      <c r="F342" s="121"/>
      <c r="G342" s="142">
        <f>100000-70000</f>
        <v>30000</v>
      </c>
      <c r="H342" s="142">
        <f t="shared" si="5"/>
        <v>30000</v>
      </c>
    </row>
    <row r="343" spans="1:8" ht="28.5" customHeight="1">
      <c r="A343" s="91">
        <v>8</v>
      </c>
      <c r="B343" s="308" t="s">
        <v>290</v>
      </c>
      <c r="C343" s="308"/>
      <c r="D343" s="121"/>
      <c r="E343" s="121"/>
      <c r="F343" s="121"/>
      <c r="G343" s="142">
        <f>50000+70000+50000</f>
        <v>170000</v>
      </c>
      <c r="H343" s="142">
        <f t="shared" si="5"/>
        <v>170000</v>
      </c>
    </row>
    <row r="344" spans="1:8" ht="23.25" customHeight="1">
      <c r="A344" s="91">
        <v>9</v>
      </c>
      <c r="B344" s="308" t="s">
        <v>291</v>
      </c>
      <c r="C344" s="308"/>
      <c r="D344" s="121"/>
      <c r="E344" s="121"/>
      <c r="F344" s="121"/>
      <c r="G344" s="142">
        <v>5000</v>
      </c>
      <c r="H344" s="142">
        <f t="shared" si="5"/>
        <v>5000</v>
      </c>
    </row>
    <row r="345" spans="1:8" ht="18" customHeight="1">
      <c r="A345" s="105"/>
      <c r="B345" s="304" t="s">
        <v>118</v>
      </c>
      <c r="C345" s="304"/>
      <c r="D345" s="105"/>
      <c r="E345" s="137" t="s">
        <v>119</v>
      </c>
      <c r="F345" s="137">
        <f>SUM(F336:F344)</f>
        <v>0</v>
      </c>
      <c r="G345" s="137">
        <f>SUM(G336:G344)</f>
        <v>1455000</v>
      </c>
      <c r="H345" s="137">
        <f>SUM(H336:H344)</f>
        <v>1455000</v>
      </c>
    </row>
    <row r="346" spans="1:6" ht="47.25" customHeight="1">
      <c r="A346" s="113"/>
      <c r="B346" s="113"/>
      <c r="C346" s="113"/>
      <c r="D346" s="113"/>
      <c r="E346" s="139"/>
      <c r="F346" s="139"/>
    </row>
    <row r="347" spans="1:8" ht="18" customHeight="1">
      <c r="A347" s="307" t="s">
        <v>292</v>
      </c>
      <c r="B347" s="307"/>
      <c r="C347" s="307"/>
      <c r="D347" s="307"/>
      <c r="E347" s="307"/>
      <c r="F347" s="307"/>
      <c r="G347" s="307"/>
      <c r="H347" s="307"/>
    </row>
    <row r="348" spans="1:8" ht="18" customHeight="1">
      <c r="A348" s="301" t="s">
        <v>104</v>
      </c>
      <c r="B348" s="302" t="s">
        <v>161</v>
      </c>
      <c r="C348" s="302"/>
      <c r="D348" s="301" t="s">
        <v>106</v>
      </c>
      <c r="E348" s="301"/>
      <c r="F348" s="301"/>
      <c r="G348" s="301"/>
      <c r="H348" s="302" t="s">
        <v>107</v>
      </c>
    </row>
    <row r="349" spans="1:8" ht="50.25" customHeight="1">
      <c r="A349" s="301"/>
      <c r="B349" s="302"/>
      <c r="C349" s="302"/>
      <c r="D349" s="301" t="s">
        <v>108</v>
      </c>
      <c r="E349" s="301"/>
      <c r="F349" s="301"/>
      <c r="G349" s="85" t="s">
        <v>12</v>
      </c>
      <c r="H349" s="302"/>
    </row>
    <row r="350" spans="1:8" ht="24" customHeight="1">
      <c r="A350" s="301"/>
      <c r="B350" s="302"/>
      <c r="C350" s="302"/>
      <c r="D350" s="87" t="s">
        <v>253</v>
      </c>
      <c r="E350" s="86" t="s">
        <v>254</v>
      </c>
      <c r="F350" s="87" t="s">
        <v>112</v>
      </c>
      <c r="G350" s="100" t="s">
        <v>112</v>
      </c>
      <c r="H350" s="302"/>
    </row>
    <row r="351" spans="1:8" ht="18" customHeight="1">
      <c r="A351" s="91">
        <v>1</v>
      </c>
      <c r="B351" s="303">
        <v>2</v>
      </c>
      <c r="C351" s="303"/>
      <c r="D351" s="91">
        <v>3</v>
      </c>
      <c r="E351" s="91">
        <v>4</v>
      </c>
      <c r="F351" s="91" t="s">
        <v>124</v>
      </c>
      <c r="G351" s="91">
        <v>6</v>
      </c>
      <c r="H351" s="91" t="s">
        <v>125</v>
      </c>
    </row>
    <row r="352" spans="1:8" ht="27" customHeight="1">
      <c r="A352" s="170" t="s">
        <v>293</v>
      </c>
      <c r="B352" s="304" t="s">
        <v>68</v>
      </c>
      <c r="C352" s="304"/>
      <c r="D352" s="304"/>
      <c r="E352" s="304"/>
      <c r="F352" s="105" t="s">
        <v>119</v>
      </c>
      <c r="G352" s="143" t="s">
        <v>16</v>
      </c>
      <c r="H352" s="143" t="s">
        <v>16</v>
      </c>
    </row>
    <row r="353" spans="1:8" ht="30" customHeight="1">
      <c r="A353" s="91">
        <v>1</v>
      </c>
      <c r="B353" s="305" t="s">
        <v>294</v>
      </c>
      <c r="C353" s="305"/>
      <c r="D353" s="121"/>
      <c r="E353" s="121"/>
      <c r="F353" s="121">
        <v>0</v>
      </c>
      <c r="G353" s="142">
        <v>10000</v>
      </c>
      <c r="H353" s="142">
        <f>F353+G353</f>
        <v>10000</v>
      </c>
    </row>
    <row r="354" spans="1:8" ht="18" customHeight="1">
      <c r="A354" s="105"/>
      <c r="B354" s="296" t="s">
        <v>118</v>
      </c>
      <c r="C354" s="296"/>
      <c r="D354" s="296"/>
      <c r="E354" s="105" t="s">
        <v>119</v>
      </c>
      <c r="F354" s="137">
        <f>SUM(F353)</f>
        <v>0</v>
      </c>
      <c r="G354" s="137">
        <f>SUM(G353)</f>
        <v>10000</v>
      </c>
      <c r="H354" s="137">
        <f>SUM(H353)</f>
        <v>10000</v>
      </c>
    </row>
    <row r="355" spans="1:8" ht="9" customHeight="1">
      <c r="A355" s="166"/>
      <c r="B355" s="166"/>
      <c r="C355" s="166"/>
      <c r="D355" s="166"/>
      <c r="E355" s="166"/>
      <c r="F355" s="166"/>
      <c r="G355" s="166"/>
      <c r="H355" s="166"/>
    </row>
    <row r="356" spans="1:8" s="175" customFormat="1" ht="20.25" customHeight="1">
      <c r="A356" s="91"/>
      <c r="B356" s="303" t="s">
        <v>295</v>
      </c>
      <c r="C356" s="303"/>
      <c r="D356" s="121" t="s">
        <v>119</v>
      </c>
      <c r="E356" s="121" t="s">
        <v>119</v>
      </c>
      <c r="F356" s="121">
        <f>F286+F295+F306+F315+F328+F345+F354</f>
        <v>17303800</v>
      </c>
      <c r="G356" s="121">
        <f>G286+G295+G306+G315+G328+G345+G354</f>
        <v>19621700</v>
      </c>
      <c r="H356" s="121">
        <f>H286+H295+H306+H315+H328+H345+H354</f>
        <v>36925500</v>
      </c>
    </row>
    <row r="357" spans="1:6" ht="12.75" customHeight="1">
      <c r="A357" s="113"/>
      <c r="B357" s="176"/>
      <c r="C357" s="176"/>
      <c r="D357" s="113"/>
      <c r="E357" s="139"/>
      <c r="F357" s="139"/>
    </row>
    <row r="358" spans="1:8" ht="18" customHeight="1">
      <c r="A358" s="306" t="s">
        <v>296</v>
      </c>
      <c r="B358" s="306"/>
      <c r="C358" s="306"/>
      <c r="D358" s="306"/>
      <c r="E358" s="306"/>
      <c r="F358" s="306"/>
      <c r="G358" s="306"/>
      <c r="H358" s="306"/>
    </row>
    <row r="359" spans="1:6" ht="9" customHeight="1">
      <c r="A359" s="166"/>
      <c r="B359" s="169"/>
      <c r="C359" s="169"/>
      <c r="D359" s="168"/>
      <c r="E359" s="168"/>
      <c r="F359" s="168"/>
    </row>
    <row r="360" spans="1:8" ht="18" customHeight="1">
      <c r="A360" s="300" t="s">
        <v>297</v>
      </c>
      <c r="B360" s="300"/>
      <c r="C360" s="300"/>
      <c r="D360" s="300"/>
      <c r="E360" s="300"/>
      <c r="F360" s="300"/>
      <c r="G360" s="300"/>
      <c r="H360" s="300"/>
    </row>
    <row r="361" spans="1:8" ht="18" customHeight="1">
      <c r="A361" s="301" t="s">
        <v>104</v>
      </c>
      <c r="B361" s="301" t="s">
        <v>161</v>
      </c>
      <c r="C361" s="301" t="s">
        <v>106</v>
      </c>
      <c r="D361" s="301"/>
      <c r="E361" s="301"/>
      <c r="F361" s="301"/>
      <c r="G361" s="301"/>
      <c r="H361" s="302" t="s">
        <v>107</v>
      </c>
    </row>
    <row r="362" spans="1:8" ht="45" customHeight="1">
      <c r="A362" s="301"/>
      <c r="B362" s="301"/>
      <c r="C362" s="301" t="s">
        <v>108</v>
      </c>
      <c r="D362" s="301"/>
      <c r="E362" s="301"/>
      <c r="F362" s="301"/>
      <c r="G362" s="85" t="s">
        <v>12</v>
      </c>
      <c r="H362" s="302"/>
    </row>
    <row r="363" spans="1:8" ht="29.25" customHeight="1">
      <c r="A363" s="301"/>
      <c r="B363" s="301"/>
      <c r="C363" s="86" t="s">
        <v>298</v>
      </c>
      <c r="D363" s="86" t="s">
        <v>186</v>
      </c>
      <c r="E363" s="86" t="s">
        <v>187</v>
      </c>
      <c r="F363" s="177" t="s">
        <v>112</v>
      </c>
      <c r="G363" s="178" t="s">
        <v>112</v>
      </c>
      <c r="H363" s="302"/>
    </row>
    <row r="364" spans="1:8" ht="18" customHeight="1">
      <c r="A364" s="87">
        <v>1</v>
      </c>
      <c r="B364" s="86">
        <v>2</v>
      </c>
      <c r="C364" s="87">
        <v>3</v>
      </c>
      <c r="D364" s="87">
        <v>4</v>
      </c>
      <c r="E364" s="87">
        <v>5</v>
      </c>
      <c r="F364" s="88" t="s">
        <v>188</v>
      </c>
      <c r="G364" s="88">
        <v>7</v>
      </c>
      <c r="H364" s="88" t="s">
        <v>113</v>
      </c>
    </row>
    <row r="365" spans="1:8" ht="45" customHeight="1">
      <c r="A365" s="91" t="s">
        <v>165</v>
      </c>
      <c r="B365" s="144" t="s">
        <v>299</v>
      </c>
      <c r="C365" s="91">
        <v>0</v>
      </c>
      <c r="D365" s="91">
        <v>0</v>
      </c>
      <c r="E365" s="121">
        <v>0</v>
      </c>
      <c r="F365" s="121">
        <f>C365*D365*E365</f>
        <v>0</v>
      </c>
      <c r="G365" s="142">
        <v>5000</v>
      </c>
      <c r="H365" s="142">
        <f>F365+G365</f>
        <v>5000</v>
      </c>
    </row>
    <row r="366" spans="1:8" ht="18" customHeight="1">
      <c r="A366" s="296" t="s">
        <v>118</v>
      </c>
      <c r="B366" s="296"/>
      <c r="C366" s="105">
        <f>SUM(C363:C363)</f>
        <v>0</v>
      </c>
      <c r="D366" s="105" t="s">
        <v>119</v>
      </c>
      <c r="E366" s="105" t="s">
        <v>119</v>
      </c>
      <c r="F366" s="137">
        <f>SUM(F363:F365)</f>
        <v>0</v>
      </c>
      <c r="G366" s="137">
        <f>SUM(G365)</f>
        <v>5000</v>
      </c>
      <c r="H366" s="137">
        <f>SUM(H363:H365)</f>
        <v>5000</v>
      </c>
    </row>
    <row r="367" spans="1:6" ht="18" customHeight="1">
      <c r="A367" s="113"/>
      <c r="B367" s="176"/>
      <c r="C367" s="176"/>
      <c r="D367" s="113"/>
      <c r="E367" s="139"/>
      <c r="F367" s="139"/>
    </row>
    <row r="368" spans="1:8" ht="15.75" customHeight="1">
      <c r="A368" s="82"/>
      <c r="B368" s="109"/>
      <c r="C368" s="109"/>
      <c r="D368" s="109"/>
      <c r="E368" s="110"/>
      <c r="F368" s="127"/>
      <c r="G368" s="127"/>
      <c r="H368" s="127"/>
    </row>
    <row r="369" spans="1:8" s="77" customFormat="1" ht="18" customHeight="1">
      <c r="A369" s="141"/>
      <c r="B369" s="297" t="s">
        <v>300</v>
      </c>
      <c r="C369" s="297"/>
      <c r="D369" s="297"/>
      <c r="E369" s="110"/>
      <c r="F369" s="127">
        <f>F122+F138+F169+F180+F192+F207+F230+F250+F261+F274+F356+F366</f>
        <v>29970500</v>
      </c>
      <c r="G369" s="127">
        <f>G122+G138+G154+G169+G180+G192+G207+G230+G250+G261+G274+G356+G366</f>
        <v>29409900</v>
      </c>
      <c r="H369" s="127">
        <f>F369+G369</f>
        <v>59380400</v>
      </c>
    </row>
    <row r="370" spans="1:8" s="77" customFormat="1" ht="18.75" customHeight="1">
      <c r="A370" s="141"/>
      <c r="B370" s="297" t="s">
        <v>301</v>
      </c>
      <c r="C370" s="297"/>
      <c r="D370" s="297"/>
      <c r="E370" s="110"/>
      <c r="F370" s="127">
        <f>F44+F80+F122+F138+F154+F169+F180+F192+F207+F230+F250+F261+F274+F356+F366</f>
        <v>132850300.00398254</v>
      </c>
      <c r="G370" s="127">
        <f>G44+G80+G122+G138+G154+G169+G180+G192+G207+G230+G250+G261+G274+G356+G366</f>
        <v>34000000</v>
      </c>
      <c r="H370" s="127">
        <f>H44+H80+H122+H138+H154+H169+H180+H192+H207+H230+H250+H261+H274+H356+H366</f>
        <v>166850300.00398254</v>
      </c>
    </row>
    <row r="371" spans="1:8" s="77" customFormat="1" ht="42.75" customHeight="1">
      <c r="A371" s="141"/>
      <c r="B371" s="141"/>
      <c r="C371" s="141"/>
      <c r="D371" s="141"/>
      <c r="E371" s="110"/>
      <c r="F371" s="110"/>
      <c r="G371" s="110"/>
      <c r="H371" s="110"/>
    </row>
    <row r="372" spans="1:8" s="77" customFormat="1" ht="18.75">
      <c r="A372" s="291" t="s">
        <v>403</v>
      </c>
      <c r="B372" s="291"/>
      <c r="C372" s="179"/>
      <c r="D372" s="179"/>
      <c r="E372" s="180"/>
      <c r="F372" s="181"/>
      <c r="G372" s="298" t="s">
        <v>404</v>
      </c>
      <c r="H372" s="298"/>
    </row>
    <row r="373" spans="1:8" s="77" customFormat="1" ht="18.75">
      <c r="A373" s="293" t="s">
        <v>302</v>
      </c>
      <c r="B373" s="293"/>
      <c r="E373" s="77" t="s">
        <v>77</v>
      </c>
      <c r="F373" s="182"/>
      <c r="G373" s="299" t="s">
        <v>78</v>
      </c>
      <c r="H373" s="299"/>
    </row>
    <row r="374" spans="1:7" s="77" customFormat="1" ht="18.75">
      <c r="A374" s="183"/>
      <c r="G374" s="184"/>
    </row>
    <row r="375" spans="1:8" s="77" customFormat="1" ht="18.75">
      <c r="A375" s="291" t="s">
        <v>79</v>
      </c>
      <c r="B375" s="291"/>
      <c r="C375" s="179"/>
      <c r="D375" s="179"/>
      <c r="E375" s="180"/>
      <c r="F375" s="181"/>
      <c r="G375" s="292" t="s">
        <v>80</v>
      </c>
      <c r="H375" s="292"/>
    </row>
    <row r="376" spans="1:8" s="77" customFormat="1" ht="18.75">
      <c r="A376" s="293" t="s">
        <v>302</v>
      </c>
      <c r="B376" s="293"/>
      <c r="E376" s="77" t="s">
        <v>77</v>
      </c>
      <c r="F376" s="182"/>
      <c r="G376" s="294" t="s">
        <v>78</v>
      </c>
      <c r="H376" s="294"/>
    </row>
    <row r="377" s="77" customFormat="1" ht="18.75"/>
    <row r="378" s="77" customFormat="1" ht="18.75"/>
    <row r="379" spans="1:12" s="77" customFormat="1" ht="21" customHeight="1">
      <c r="A379" s="295"/>
      <c r="B379" s="295"/>
      <c r="C379" s="295"/>
      <c r="D379" s="295"/>
      <c r="E379" s="295"/>
      <c r="F379" s="295"/>
      <c r="G379" s="295"/>
      <c r="H379" s="295"/>
      <c r="L379" s="185"/>
    </row>
  </sheetData>
  <sheetProtection selectLockedCells="1" selectUnlockedCells="1"/>
  <mergeCells count="379"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13:E13"/>
    <mergeCell ref="A14:H14"/>
    <mergeCell ref="A16:H16"/>
    <mergeCell ref="A18:H18"/>
    <mergeCell ref="A19:F19"/>
    <mergeCell ref="A20:H20"/>
    <mergeCell ref="A22:A25"/>
    <mergeCell ref="B22:B25"/>
    <mergeCell ref="C22:G22"/>
    <mergeCell ref="H22:H25"/>
    <mergeCell ref="C23:F23"/>
    <mergeCell ref="C24:C25"/>
    <mergeCell ref="D24:D25"/>
    <mergeCell ref="E24:E25"/>
    <mergeCell ref="F24:F25"/>
    <mergeCell ref="G24:G25"/>
    <mergeCell ref="A31:B31"/>
    <mergeCell ref="A34:H34"/>
    <mergeCell ref="A35:H35"/>
    <mergeCell ref="A37:A39"/>
    <mergeCell ref="B37:C39"/>
    <mergeCell ref="D37:G37"/>
    <mergeCell ref="H37:H39"/>
    <mergeCell ref="D38:F38"/>
    <mergeCell ref="M38:T38"/>
    <mergeCell ref="M39:T39"/>
    <mergeCell ref="B40:C40"/>
    <mergeCell ref="B41:C41"/>
    <mergeCell ref="M41:M43"/>
    <mergeCell ref="N41:O43"/>
    <mergeCell ref="P41:S41"/>
    <mergeCell ref="T41:T43"/>
    <mergeCell ref="A42:C42"/>
    <mergeCell ref="P42:R42"/>
    <mergeCell ref="A46:H46"/>
    <mergeCell ref="A48:H48"/>
    <mergeCell ref="A49:H49"/>
    <mergeCell ref="A50:H50"/>
    <mergeCell ref="A51:A53"/>
    <mergeCell ref="B51:B53"/>
    <mergeCell ref="C51:G51"/>
    <mergeCell ref="H51:H53"/>
    <mergeCell ref="C52:F52"/>
    <mergeCell ref="C53:D53"/>
    <mergeCell ref="C54:D54"/>
    <mergeCell ref="B55:E55"/>
    <mergeCell ref="B56:E56"/>
    <mergeCell ref="C57:D57"/>
    <mergeCell ref="C58:D58"/>
    <mergeCell ref="C59:D59"/>
    <mergeCell ref="C60:D60"/>
    <mergeCell ref="B61:E61"/>
    <mergeCell ref="B62:E62"/>
    <mergeCell ref="B63:E63"/>
    <mergeCell ref="C64:D64"/>
    <mergeCell ref="C65:D65"/>
    <mergeCell ref="C66:D66"/>
    <mergeCell ref="C67:D67"/>
    <mergeCell ref="B68:E68"/>
    <mergeCell ref="C69:D69"/>
    <mergeCell ref="C70:D70"/>
    <mergeCell ref="C71:D71"/>
    <mergeCell ref="C72:D72"/>
    <mergeCell ref="B73:E73"/>
    <mergeCell ref="C74:D74"/>
    <mergeCell ref="C75:D75"/>
    <mergeCell ref="C76:D76"/>
    <mergeCell ref="C77:D77"/>
    <mergeCell ref="C78:D78"/>
    <mergeCell ref="A82:H82"/>
    <mergeCell ref="A83:H83"/>
    <mergeCell ref="A84:H84"/>
    <mergeCell ref="A85:H85"/>
    <mergeCell ref="A86:H86"/>
    <mergeCell ref="A87:A89"/>
    <mergeCell ref="B87:B89"/>
    <mergeCell ref="C87:G87"/>
    <mergeCell ref="H87:H89"/>
    <mergeCell ref="C88:F88"/>
    <mergeCell ref="C89:D89"/>
    <mergeCell ref="C90:D90"/>
    <mergeCell ref="C91:D91"/>
    <mergeCell ref="A92:B92"/>
    <mergeCell ref="C92:D92"/>
    <mergeCell ref="A94:H94"/>
    <mergeCell ref="A95:A97"/>
    <mergeCell ref="B95:B97"/>
    <mergeCell ref="C95:G95"/>
    <mergeCell ref="H95:H97"/>
    <mergeCell ref="C96:F96"/>
    <mergeCell ref="C97:D97"/>
    <mergeCell ref="C98:D98"/>
    <mergeCell ref="C99:D99"/>
    <mergeCell ref="A100:B100"/>
    <mergeCell ref="C100:D100"/>
    <mergeCell ref="A102:H102"/>
    <mergeCell ref="A103:A105"/>
    <mergeCell ref="B103:B105"/>
    <mergeCell ref="C103:G103"/>
    <mergeCell ref="H103:H105"/>
    <mergeCell ref="C104:F104"/>
    <mergeCell ref="C105:D105"/>
    <mergeCell ref="C106:D106"/>
    <mergeCell ref="C107:D107"/>
    <mergeCell ref="A108:B108"/>
    <mergeCell ref="C108:D108"/>
    <mergeCell ref="A112:H112"/>
    <mergeCell ref="A113:A115"/>
    <mergeCell ref="B113:B115"/>
    <mergeCell ref="C113:G113"/>
    <mergeCell ref="H113:H115"/>
    <mergeCell ref="C114:F114"/>
    <mergeCell ref="C115:D115"/>
    <mergeCell ref="C116:D116"/>
    <mergeCell ref="C117:D117"/>
    <mergeCell ref="C118:D118"/>
    <mergeCell ref="C119:D119"/>
    <mergeCell ref="A120:B120"/>
    <mergeCell ref="C120:D120"/>
    <mergeCell ref="A124:H124"/>
    <mergeCell ref="A125:H125"/>
    <mergeCell ref="A126:H126"/>
    <mergeCell ref="A127:H127"/>
    <mergeCell ref="A128:A130"/>
    <mergeCell ref="B128:C130"/>
    <mergeCell ref="D128:G128"/>
    <mergeCell ref="H128:H130"/>
    <mergeCell ref="D129:F129"/>
    <mergeCell ref="B131:C131"/>
    <mergeCell ref="B132:C132"/>
    <mergeCell ref="B133:C133"/>
    <mergeCell ref="B134:C134"/>
    <mergeCell ref="B135:C135"/>
    <mergeCell ref="A136:C136"/>
    <mergeCell ref="A140:H140"/>
    <mergeCell ref="A141:H141"/>
    <mergeCell ref="A142:H142"/>
    <mergeCell ref="A144:H144"/>
    <mergeCell ref="A145:H145"/>
    <mergeCell ref="A146:H146"/>
    <mergeCell ref="A147:A149"/>
    <mergeCell ref="B147:D149"/>
    <mergeCell ref="E147:G147"/>
    <mergeCell ref="H147:H149"/>
    <mergeCell ref="E148:F148"/>
    <mergeCell ref="B150:D150"/>
    <mergeCell ref="B151:D151"/>
    <mergeCell ref="B152:D152"/>
    <mergeCell ref="A156:H156"/>
    <mergeCell ref="A157:F157"/>
    <mergeCell ref="A158:H158"/>
    <mergeCell ref="A160:H160"/>
    <mergeCell ref="A161:A163"/>
    <mergeCell ref="B161:B163"/>
    <mergeCell ref="C161:G161"/>
    <mergeCell ref="H161:H163"/>
    <mergeCell ref="C162:F162"/>
    <mergeCell ref="A169:B169"/>
    <mergeCell ref="A171:H171"/>
    <mergeCell ref="A172:H172"/>
    <mergeCell ref="A174:A176"/>
    <mergeCell ref="B174:C176"/>
    <mergeCell ref="D174:G174"/>
    <mergeCell ref="H174:H176"/>
    <mergeCell ref="D175:F175"/>
    <mergeCell ref="B177:C177"/>
    <mergeCell ref="B178:C178"/>
    <mergeCell ref="B179:C179"/>
    <mergeCell ref="A180:C180"/>
    <mergeCell ref="A182:H182"/>
    <mergeCell ref="A183:H183"/>
    <mergeCell ref="A184:A186"/>
    <mergeCell ref="B184:B186"/>
    <mergeCell ref="C184:G184"/>
    <mergeCell ref="H184:H186"/>
    <mergeCell ref="C185:F185"/>
    <mergeCell ref="A188:A189"/>
    <mergeCell ref="A190:A191"/>
    <mergeCell ref="A192:B192"/>
    <mergeCell ref="A194:H194"/>
    <mergeCell ref="A195:A197"/>
    <mergeCell ref="B195:B197"/>
    <mergeCell ref="C195:G195"/>
    <mergeCell ref="H195:H197"/>
    <mergeCell ref="C196:F196"/>
    <mergeCell ref="A199:A200"/>
    <mergeCell ref="A201:A204"/>
    <mergeCell ref="B201:B202"/>
    <mergeCell ref="B203:B204"/>
    <mergeCell ref="A205:A206"/>
    <mergeCell ref="A207:B207"/>
    <mergeCell ref="A209:H209"/>
    <mergeCell ref="A210:H210"/>
    <mergeCell ref="A211:H211"/>
    <mergeCell ref="A212:A214"/>
    <mergeCell ref="B212:C214"/>
    <mergeCell ref="D212:G212"/>
    <mergeCell ref="H212:H214"/>
    <mergeCell ref="D213:F21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C230"/>
    <mergeCell ref="A232:H232"/>
    <mergeCell ref="A233:H233"/>
    <mergeCell ref="A234:H234"/>
    <mergeCell ref="A235:A237"/>
    <mergeCell ref="B235:D237"/>
    <mergeCell ref="E235:G235"/>
    <mergeCell ref="H235:H237"/>
    <mergeCell ref="E236:F236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A252:H252"/>
    <mergeCell ref="A254:H254"/>
    <mergeCell ref="A255:A257"/>
    <mergeCell ref="B255:D257"/>
    <mergeCell ref="E255:G255"/>
    <mergeCell ref="H255:H257"/>
    <mergeCell ref="E256:F256"/>
    <mergeCell ref="B258:D258"/>
    <mergeCell ref="B259:D259"/>
    <mergeCell ref="B260:D260"/>
    <mergeCell ref="B261:D261"/>
    <mergeCell ref="A263:H263"/>
    <mergeCell ref="A264:H264"/>
    <mergeCell ref="A265:H265"/>
    <mergeCell ref="A266:A268"/>
    <mergeCell ref="B266:C268"/>
    <mergeCell ref="D266:G266"/>
    <mergeCell ref="H266:H268"/>
    <mergeCell ref="D267:F267"/>
    <mergeCell ref="B269:C269"/>
    <mergeCell ref="B270:C270"/>
    <mergeCell ref="B271:C271"/>
    <mergeCell ref="B272:C272"/>
    <mergeCell ref="B273:C273"/>
    <mergeCell ref="B274:D274"/>
    <mergeCell ref="A276:H276"/>
    <mergeCell ref="A277:H277"/>
    <mergeCell ref="A278:A280"/>
    <mergeCell ref="B278:C280"/>
    <mergeCell ref="D278:G278"/>
    <mergeCell ref="H278:H280"/>
    <mergeCell ref="D279:F279"/>
    <mergeCell ref="B281:C281"/>
    <mergeCell ref="B282:E282"/>
    <mergeCell ref="B283:C283"/>
    <mergeCell ref="B284:C284"/>
    <mergeCell ref="B285:C285"/>
    <mergeCell ref="B286:D286"/>
    <mergeCell ref="A288:H288"/>
    <mergeCell ref="A289:A291"/>
    <mergeCell ref="B289:C291"/>
    <mergeCell ref="D289:G289"/>
    <mergeCell ref="H289:H291"/>
    <mergeCell ref="D290:F290"/>
    <mergeCell ref="B292:C292"/>
    <mergeCell ref="B293:E293"/>
    <mergeCell ref="B294:C294"/>
    <mergeCell ref="B295:D295"/>
    <mergeCell ref="A296:H296"/>
    <mergeCell ref="A299:H299"/>
    <mergeCell ref="A300:A302"/>
    <mergeCell ref="B300:C302"/>
    <mergeCell ref="D300:G300"/>
    <mergeCell ref="H300:H302"/>
    <mergeCell ref="D301:F301"/>
    <mergeCell ref="B303:C303"/>
    <mergeCell ref="B304:E304"/>
    <mergeCell ref="B305:C305"/>
    <mergeCell ref="B306:D306"/>
    <mergeCell ref="A308:H308"/>
    <mergeCell ref="A309:A311"/>
    <mergeCell ref="B309:C311"/>
    <mergeCell ref="D309:G309"/>
    <mergeCell ref="H309:H311"/>
    <mergeCell ref="D310:F310"/>
    <mergeCell ref="B312:C312"/>
    <mergeCell ref="B313:E313"/>
    <mergeCell ref="B314:C314"/>
    <mergeCell ref="B315:D315"/>
    <mergeCell ref="A317:H317"/>
    <mergeCell ref="A318:A320"/>
    <mergeCell ref="B318:C320"/>
    <mergeCell ref="D318:G318"/>
    <mergeCell ref="H318:H320"/>
    <mergeCell ref="D319:F319"/>
    <mergeCell ref="B321:C321"/>
    <mergeCell ref="B322:E322"/>
    <mergeCell ref="B323:C323"/>
    <mergeCell ref="B324:C324"/>
    <mergeCell ref="B325:C325"/>
    <mergeCell ref="B326:C326"/>
    <mergeCell ref="B327:C327"/>
    <mergeCell ref="B328:D328"/>
    <mergeCell ref="A330:H330"/>
    <mergeCell ref="A331:A333"/>
    <mergeCell ref="B331:C333"/>
    <mergeCell ref="D331:G331"/>
    <mergeCell ref="H331:H333"/>
    <mergeCell ref="D332:F332"/>
    <mergeCell ref="B334:C334"/>
    <mergeCell ref="B335:E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A347:H347"/>
    <mergeCell ref="A348:A350"/>
    <mergeCell ref="B348:C350"/>
    <mergeCell ref="D348:G348"/>
    <mergeCell ref="H348:H350"/>
    <mergeCell ref="D349:F349"/>
    <mergeCell ref="B351:C351"/>
    <mergeCell ref="B352:E352"/>
    <mergeCell ref="B353:C353"/>
    <mergeCell ref="B354:D354"/>
    <mergeCell ref="B356:C356"/>
    <mergeCell ref="A358:H358"/>
    <mergeCell ref="A373:B373"/>
    <mergeCell ref="G373:H373"/>
    <mergeCell ref="A360:H360"/>
    <mergeCell ref="A361:A363"/>
    <mergeCell ref="B361:B363"/>
    <mergeCell ref="C361:G361"/>
    <mergeCell ref="H361:H363"/>
    <mergeCell ref="C362:F362"/>
    <mergeCell ref="A375:B375"/>
    <mergeCell ref="G375:H375"/>
    <mergeCell ref="A376:B376"/>
    <mergeCell ref="G376:H376"/>
    <mergeCell ref="A379:H379"/>
    <mergeCell ref="A366:B366"/>
    <mergeCell ref="B369:D369"/>
    <mergeCell ref="B370:D370"/>
    <mergeCell ref="A372:B372"/>
    <mergeCell ref="G372:H372"/>
  </mergeCells>
  <printOptions/>
  <pageMargins left="1.18125" right="0.39375" top="0.39375" bottom="0.39375" header="0.5118055555555555" footer="0.5118055555555555"/>
  <pageSetup fitToHeight="6" fitToWidth="1"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9"/>
  <sheetViews>
    <sheetView zoomScalePageLayoutView="0" workbookViewId="0" topLeftCell="A359">
      <selection activeCell="G372" sqref="G372:H372"/>
    </sheetView>
  </sheetViews>
  <sheetFormatPr defaultColWidth="9.140625" defaultRowHeight="15"/>
  <cols>
    <col min="1" max="1" width="5.28125" style="0" customWidth="1"/>
    <col min="2" max="2" width="37.421875" style="0" customWidth="1"/>
    <col min="3" max="4" width="13.7109375" style="0" customWidth="1"/>
    <col min="5" max="5" width="16.140625" style="0" customWidth="1"/>
    <col min="6" max="6" width="20.140625" style="0" customWidth="1"/>
    <col min="7" max="7" width="26.421875" style="0" customWidth="1"/>
    <col min="8" max="8" width="19.57421875" style="0" customWidth="1"/>
    <col min="9" max="9" width="21.7109375" style="0" customWidth="1"/>
  </cols>
  <sheetData>
    <row r="1" spans="1:256" s="77" customFormat="1" ht="15" customHeight="1">
      <c r="A1" s="75"/>
      <c r="B1" s="75"/>
      <c r="C1" s="75"/>
      <c r="D1" s="76"/>
      <c r="E1" s="76"/>
      <c r="G1" s="344" t="s">
        <v>91</v>
      </c>
      <c r="H1" s="344"/>
      <c r="IU1"/>
      <c r="IV1"/>
    </row>
    <row r="2" spans="1:256" s="77" customFormat="1" ht="75" customHeight="1">
      <c r="A2" s="75"/>
      <c r="B2" s="75"/>
      <c r="C2" s="75"/>
      <c r="D2" s="78"/>
      <c r="E2" s="79"/>
      <c r="F2" s="345" t="s">
        <v>92</v>
      </c>
      <c r="G2" s="345"/>
      <c r="H2" s="345"/>
      <c r="IU2"/>
      <c r="IV2"/>
    </row>
    <row r="3" spans="1:256" s="77" customFormat="1" ht="12.75" customHeight="1">
      <c r="A3" s="75"/>
      <c r="B3" s="75"/>
      <c r="C3" s="75"/>
      <c r="D3" s="75"/>
      <c r="E3" s="75"/>
      <c r="F3" s="75"/>
      <c r="G3" s="338"/>
      <c r="H3" s="338"/>
      <c r="IU3"/>
      <c r="IV3"/>
    </row>
    <row r="4" spans="1:256" s="77" customFormat="1" ht="15.75" customHeight="1">
      <c r="A4" s="338" t="s">
        <v>396</v>
      </c>
      <c r="B4" s="338"/>
      <c r="C4" s="338"/>
      <c r="D4" s="338"/>
      <c r="E4" s="338"/>
      <c r="F4" s="338"/>
      <c r="G4" s="338"/>
      <c r="H4" s="338"/>
      <c r="IU4"/>
      <c r="IV4"/>
    </row>
    <row r="5" spans="1:256" s="77" customFormat="1" ht="15.75" customHeight="1">
      <c r="A5" s="338" t="s">
        <v>93</v>
      </c>
      <c r="B5" s="338"/>
      <c r="C5" s="338"/>
      <c r="D5" s="338"/>
      <c r="E5" s="338"/>
      <c r="F5" s="338"/>
      <c r="G5" s="338"/>
      <c r="H5" s="338"/>
      <c r="IU5"/>
      <c r="IV5"/>
    </row>
    <row r="6" spans="1:256" s="77" customFormat="1" ht="18.75" customHeight="1">
      <c r="A6" s="338" t="s">
        <v>94</v>
      </c>
      <c r="B6" s="338"/>
      <c r="C6" s="338"/>
      <c r="D6" s="338"/>
      <c r="E6" s="338"/>
      <c r="F6" s="338"/>
      <c r="G6" s="338"/>
      <c r="H6" s="338"/>
      <c r="IU6"/>
      <c r="IV6"/>
    </row>
    <row r="7" spans="1:256" s="77" customFormat="1" ht="18.75" customHeight="1">
      <c r="A7" s="340" t="s">
        <v>95</v>
      </c>
      <c r="B7" s="340"/>
      <c r="C7" s="340"/>
      <c r="D7" s="340"/>
      <c r="E7" s="340"/>
      <c r="F7" s="340"/>
      <c r="G7" s="340"/>
      <c r="H7" s="340"/>
      <c r="IU7"/>
      <c r="IV7"/>
    </row>
    <row r="8" spans="1:256" s="77" customFormat="1" ht="18.75" customHeight="1">
      <c r="A8" s="341" t="s">
        <v>96</v>
      </c>
      <c r="B8" s="341"/>
      <c r="C8" s="341"/>
      <c r="D8" s="341"/>
      <c r="E8" s="341"/>
      <c r="F8" s="341"/>
      <c r="G8" s="341"/>
      <c r="H8" s="341"/>
      <c r="IU8"/>
      <c r="IV8"/>
    </row>
    <row r="9" spans="1:256" s="77" customFormat="1" ht="18.75" customHeight="1">
      <c r="A9" s="340" t="s">
        <v>97</v>
      </c>
      <c r="B9" s="340"/>
      <c r="C9" s="340"/>
      <c r="D9" s="340"/>
      <c r="E9" s="340"/>
      <c r="F9" s="340"/>
      <c r="G9" s="340"/>
      <c r="H9" s="340"/>
      <c r="IU9"/>
      <c r="IV9"/>
    </row>
    <row r="10" spans="1:256" s="77" customFormat="1" ht="18.75" customHeight="1">
      <c r="A10" s="325" t="s">
        <v>304</v>
      </c>
      <c r="B10" s="325"/>
      <c r="C10" s="325"/>
      <c r="D10" s="325"/>
      <c r="E10" s="325"/>
      <c r="F10" s="325"/>
      <c r="G10" s="325"/>
      <c r="H10" s="325"/>
      <c r="IU10"/>
      <c r="IV10"/>
    </row>
    <row r="11" spans="1:256" s="77" customFormat="1" ht="15.75" customHeight="1" hidden="1">
      <c r="A11" s="342"/>
      <c r="B11" s="342"/>
      <c r="C11" s="342"/>
      <c r="D11" s="342"/>
      <c r="E11" s="342"/>
      <c r="IV11"/>
    </row>
    <row r="12" spans="1:256" s="77" customFormat="1" ht="15.75" customHeight="1">
      <c r="A12" s="343" t="s">
        <v>99</v>
      </c>
      <c r="B12" s="343"/>
      <c r="C12" s="343"/>
      <c r="D12" s="343"/>
      <c r="E12" s="343"/>
      <c r="F12" s="343"/>
      <c r="G12" s="343"/>
      <c r="H12" s="343"/>
      <c r="IV12"/>
    </row>
    <row r="13" spans="1:256" s="77" customFormat="1" ht="19.5" customHeight="1">
      <c r="A13" s="338"/>
      <c r="B13" s="338"/>
      <c r="C13" s="338"/>
      <c r="D13" s="338"/>
      <c r="E13" s="338"/>
      <c r="IV13"/>
    </row>
    <row r="14" spans="1:256" s="77" customFormat="1" ht="97.5" customHeight="1">
      <c r="A14" s="323" t="s">
        <v>100</v>
      </c>
      <c r="B14" s="323"/>
      <c r="C14" s="323"/>
      <c r="D14" s="323"/>
      <c r="E14" s="323"/>
      <c r="F14" s="323"/>
      <c r="G14" s="323"/>
      <c r="H14" s="323"/>
      <c r="IV14"/>
    </row>
    <row r="15" spans="1:256" s="77" customFormat="1" ht="15" customHeight="1">
      <c r="A15" s="81"/>
      <c r="B15" s="81"/>
      <c r="C15" s="81"/>
      <c r="D15" s="81"/>
      <c r="E15" s="81"/>
      <c r="F15" s="81"/>
      <c r="IV15"/>
    </row>
    <row r="16" spans="1:8" ht="15.75" customHeight="1">
      <c r="A16" s="325" t="s">
        <v>101</v>
      </c>
      <c r="B16" s="325"/>
      <c r="C16" s="325"/>
      <c r="D16" s="325"/>
      <c r="E16" s="325"/>
      <c r="F16" s="325"/>
      <c r="G16" s="325"/>
      <c r="H16" s="325"/>
    </row>
    <row r="17" spans="1:256" s="77" customFormat="1" ht="22.5" customHeight="1" hidden="1">
      <c r="A17" s="81"/>
      <c r="B17" s="81"/>
      <c r="C17" s="81"/>
      <c r="D17" s="81"/>
      <c r="E17" s="81"/>
      <c r="IV17"/>
    </row>
    <row r="18" spans="1:8" ht="15.75" customHeight="1">
      <c r="A18" s="323" t="s">
        <v>102</v>
      </c>
      <c r="B18" s="323"/>
      <c r="C18" s="323"/>
      <c r="D18" s="323"/>
      <c r="E18" s="323"/>
      <c r="F18" s="323"/>
      <c r="G18" s="323"/>
      <c r="H18" s="323"/>
    </row>
    <row r="19" spans="1:6" ht="15.75" customHeight="1" hidden="1">
      <c r="A19" s="339"/>
      <c r="B19" s="339"/>
      <c r="C19" s="339"/>
      <c r="D19" s="339"/>
      <c r="E19" s="339"/>
      <c r="F19" s="339"/>
    </row>
    <row r="20" spans="1:8" s="83" customFormat="1" ht="19.5" customHeight="1">
      <c r="A20" s="307" t="s">
        <v>103</v>
      </c>
      <c r="B20" s="307"/>
      <c r="C20" s="307"/>
      <c r="D20" s="307"/>
      <c r="E20" s="307"/>
      <c r="F20" s="307"/>
      <c r="G20" s="307"/>
      <c r="H20" s="307"/>
    </row>
    <row r="21" spans="1:3" s="83" customFormat="1" ht="26.25" customHeight="1" hidden="1">
      <c r="A21" s="82"/>
      <c r="B21" s="82"/>
      <c r="C21" s="82"/>
    </row>
    <row r="22" spans="1:8" s="84" customFormat="1" ht="26.25" customHeight="1">
      <c r="A22" s="301" t="s">
        <v>104</v>
      </c>
      <c r="B22" s="301" t="s">
        <v>105</v>
      </c>
      <c r="C22" s="301" t="s">
        <v>106</v>
      </c>
      <c r="D22" s="301"/>
      <c r="E22" s="301"/>
      <c r="F22" s="301"/>
      <c r="G22" s="301"/>
      <c r="H22" s="302" t="s">
        <v>107</v>
      </c>
    </row>
    <row r="23" spans="1:8" s="84" customFormat="1" ht="47.25" customHeight="1">
      <c r="A23" s="301"/>
      <c r="B23" s="301"/>
      <c r="C23" s="301" t="s">
        <v>108</v>
      </c>
      <c r="D23" s="301"/>
      <c r="E23" s="301"/>
      <c r="F23" s="301"/>
      <c r="G23" s="85" t="s">
        <v>12</v>
      </c>
      <c r="H23" s="302"/>
    </row>
    <row r="24" spans="1:8" s="84" customFormat="1" ht="47.25" customHeight="1">
      <c r="A24" s="301"/>
      <c r="B24" s="301"/>
      <c r="C24" s="334" t="s">
        <v>109</v>
      </c>
      <c r="D24" s="334" t="s">
        <v>110</v>
      </c>
      <c r="E24" s="334" t="s">
        <v>111</v>
      </c>
      <c r="F24" s="334" t="s">
        <v>112</v>
      </c>
      <c r="G24" s="334" t="s">
        <v>112</v>
      </c>
      <c r="H24" s="302"/>
    </row>
    <row r="25" spans="1:8" s="84" customFormat="1" ht="52.5" customHeight="1">
      <c r="A25" s="301"/>
      <c r="B25" s="301"/>
      <c r="C25" s="334"/>
      <c r="D25" s="334"/>
      <c r="E25" s="334"/>
      <c r="F25" s="334"/>
      <c r="G25" s="334"/>
      <c r="H25" s="302"/>
    </row>
    <row r="26" spans="1:8" ht="15">
      <c r="A26" s="87">
        <v>1</v>
      </c>
      <c r="B26" s="86">
        <v>2</v>
      </c>
      <c r="C26" s="87">
        <v>3</v>
      </c>
      <c r="D26" s="87">
        <v>4</v>
      </c>
      <c r="E26" s="87">
        <v>5</v>
      </c>
      <c r="F26" s="88">
        <v>6</v>
      </c>
      <c r="G26" s="87">
        <v>7</v>
      </c>
      <c r="H26" s="88" t="s">
        <v>113</v>
      </c>
    </row>
    <row r="27" spans="1:8" ht="16.5" customHeight="1">
      <c r="A27" s="89">
        <v>1</v>
      </c>
      <c r="B27" s="90" t="s">
        <v>114</v>
      </c>
      <c r="C27" s="91">
        <v>4</v>
      </c>
      <c r="D27" s="92">
        <v>100702.0833333</v>
      </c>
      <c r="E27" s="89">
        <v>12</v>
      </c>
      <c r="F27" s="93">
        <f>C27*D27*E27-14300</f>
        <v>4819399.9999984</v>
      </c>
      <c r="G27" s="94"/>
      <c r="H27" s="94">
        <f>F27+G27</f>
        <v>4819399.9999984</v>
      </c>
    </row>
    <row r="28" spans="1:8" ht="16.5" customHeight="1">
      <c r="A28" s="89">
        <v>2</v>
      </c>
      <c r="B28" s="90" t="s">
        <v>115</v>
      </c>
      <c r="C28" s="91">
        <v>23</v>
      </c>
      <c r="D28" s="92">
        <v>50351.0869565</v>
      </c>
      <c r="E28" s="89">
        <v>12</v>
      </c>
      <c r="F28" s="93">
        <f>C28*D28*E28-41200</f>
        <v>13855699.999994002</v>
      </c>
      <c r="G28" s="94"/>
      <c r="H28" s="94">
        <f>F28+G28</f>
        <v>13855699.999994002</v>
      </c>
    </row>
    <row r="29" spans="1:8" ht="16.5" customHeight="1">
      <c r="A29" s="89">
        <v>3</v>
      </c>
      <c r="B29" s="90" t="s">
        <v>116</v>
      </c>
      <c r="C29" s="91">
        <v>68</v>
      </c>
      <c r="D29" s="92">
        <v>50350.980392</v>
      </c>
      <c r="E29" s="89">
        <v>12</v>
      </c>
      <c r="F29" s="93">
        <f>C29*D29*E29-121000</f>
        <v>40965399.999872</v>
      </c>
      <c r="G29" s="94"/>
      <c r="H29" s="94">
        <f>F29+G29</f>
        <v>40965399.999872</v>
      </c>
    </row>
    <row r="30" spans="1:8" ht="16.5" customHeight="1">
      <c r="A30" s="89">
        <v>4</v>
      </c>
      <c r="B30" s="90" t="s">
        <v>117</v>
      </c>
      <c r="C30" s="95">
        <v>57</v>
      </c>
      <c r="D30" s="92">
        <v>41016.9590642</v>
      </c>
      <c r="E30" s="89">
        <v>12</v>
      </c>
      <c r="F30" s="93">
        <f>C30*D30*E30-3500000-73500-150000</f>
        <v>24332099.9999128</v>
      </c>
      <c r="G30" s="94">
        <v>3500000</v>
      </c>
      <c r="H30" s="94">
        <f>F30+G30</f>
        <v>27832099.9999128</v>
      </c>
    </row>
    <row r="31" spans="1:8" ht="16.5" customHeight="1">
      <c r="A31" s="337" t="s">
        <v>118</v>
      </c>
      <c r="B31" s="337"/>
      <c r="C31" s="96">
        <f>SUM(C27:C30)</f>
        <v>152</v>
      </c>
      <c r="D31" s="96" t="s">
        <v>16</v>
      </c>
      <c r="E31" s="96" t="s">
        <v>119</v>
      </c>
      <c r="F31" s="97">
        <f>SUM(F27:F30)</f>
        <v>83972599.9997772</v>
      </c>
      <c r="G31" s="97">
        <f>SUM(G27:G30)</f>
        <v>3500000</v>
      </c>
      <c r="H31" s="97">
        <f>SUM(H27:H30)</f>
        <v>87472599.9997772</v>
      </c>
    </row>
    <row r="32" ht="15" hidden="1">
      <c r="A32" s="98"/>
    </row>
    <row r="33" ht="15">
      <c r="A33" s="98"/>
    </row>
    <row r="34" spans="1:8" ht="25.5" customHeight="1">
      <c r="A34" s="323" t="s">
        <v>120</v>
      </c>
      <c r="B34" s="323"/>
      <c r="C34" s="323"/>
      <c r="D34" s="323"/>
      <c r="E34" s="323"/>
      <c r="F34" s="323"/>
      <c r="G34" s="323"/>
      <c r="H34" s="323"/>
    </row>
    <row r="35" spans="1:8" ht="18.75" customHeight="1">
      <c r="A35" s="307" t="s">
        <v>121</v>
      </c>
      <c r="B35" s="307"/>
      <c r="C35" s="307"/>
      <c r="D35" s="307"/>
      <c r="E35" s="307"/>
      <c r="F35" s="307"/>
      <c r="G35" s="307"/>
      <c r="H35" s="307"/>
    </row>
    <row r="36" spans="1:3" ht="15">
      <c r="A36" s="99"/>
      <c r="B36" s="99"/>
      <c r="C36" s="99"/>
    </row>
    <row r="37" spans="1:8" ht="15" customHeight="1">
      <c r="A37" s="301" t="s">
        <v>104</v>
      </c>
      <c r="B37" s="301" t="s">
        <v>2</v>
      </c>
      <c r="C37" s="301"/>
      <c r="D37" s="301" t="s">
        <v>106</v>
      </c>
      <c r="E37" s="301"/>
      <c r="F37" s="301"/>
      <c r="G37" s="301"/>
      <c r="H37" s="302" t="s">
        <v>107</v>
      </c>
    </row>
    <row r="38" spans="1:20" ht="48" customHeight="1">
      <c r="A38" s="301"/>
      <c r="B38" s="301"/>
      <c r="C38" s="301"/>
      <c r="D38" s="301" t="s">
        <v>108</v>
      </c>
      <c r="E38" s="301"/>
      <c r="F38" s="301"/>
      <c r="G38" s="85" t="s">
        <v>12</v>
      </c>
      <c r="H38" s="302"/>
      <c r="M38" s="323"/>
      <c r="N38" s="323"/>
      <c r="O38" s="323"/>
      <c r="P38" s="323"/>
      <c r="Q38" s="323"/>
      <c r="R38" s="323"/>
      <c r="S38" s="323"/>
      <c r="T38" s="323"/>
    </row>
    <row r="39" spans="1:20" ht="25.5">
      <c r="A39" s="301"/>
      <c r="B39" s="301"/>
      <c r="C39" s="301"/>
      <c r="D39" s="86" t="s">
        <v>122</v>
      </c>
      <c r="E39" s="86" t="s">
        <v>123</v>
      </c>
      <c r="F39" s="100" t="s">
        <v>112</v>
      </c>
      <c r="G39" s="100" t="s">
        <v>112</v>
      </c>
      <c r="H39" s="302"/>
      <c r="M39" s="307"/>
      <c r="N39" s="307"/>
      <c r="O39" s="307"/>
      <c r="P39" s="307"/>
      <c r="Q39" s="307"/>
      <c r="R39" s="307"/>
      <c r="S39" s="307"/>
      <c r="T39" s="307"/>
    </row>
    <row r="40" spans="1:20" ht="15" customHeight="1">
      <c r="A40" s="87">
        <v>1</v>
      </c>
      <c r="B40" s="329">
        <v>2</v>
      </c>
      <c r="C40" s="329"/>
      <c r="D40" s="87">
        <v>3</v>
      </c>
      <c r="E40" s="88">
        <v>4</v>
      </c>
      <c r="F40" s="88" t="s">
        <v>124</v>
      </c>
      <c r="G40" s="88">
        <v>6</v>
      </c>
      <c r="H40" s="88" t="s">
        <v>125</v>
      </c>
      <c r="M40" s="99"/>
      <c r="N40" s="99"/>
      <c r="O40" s="99"/>
      <c r="P40" s="101"/>
      <c r="Q40" s="101"/>
      <c r="R40" s="101"/>
      <c r="S40" s="101"/>
      <c r="T40" s="101"/>
    </row>
    <row r="41" spans="1:20" ht="27.75" customHeight="1">
      <c r="A41" s="87">
        <v>1</v>
      </c>
      <c r="B41" s="319" t="s">
        <v>126</v>
      </c>
      <c r="C41" s="319"/>
      <c r="D41" s="93">
        <v>2500</v>
      </c>
      <c r="E41" s="94">
        <f>F41/D41</f>
        <v>160</v>
      </c>
      <c r="F41" s="102">
        <v>400000</v>
      </c>
      <c r="G41" s="103">
        <v>0</v>
      </c>
      <c r="H41" s="104">
        <f>F41+G41</f>
        <v>400000</v>
      </c>
      <c r="M41" s="335"/>
      <c r="N41" s="335"/>
      <c r="O41" s="335"/>
      <c r="P41" s="335"/>
      <c r="Q41" s="335"/>
      <c r="R41" s="335"/>
      <c r="S41" s="335"/>
      <c r="T41" s="336"/>
    </row>
    <row r="42" spans="1:20" ht="18.75" customHeight="1">
      <c r="A42" s="296" t="s">
        <v>118</v>
      </c>
      <c r="B42" s="296"/>
      <c r="C42" s="296"/>
      <c r="D42" s="105" t="s">
        <v>16</v>
      </c>
      <c r="E42" s="105" t="s">
        <v>119</v>
      </c>
      <c r="F42" s="97">
        <f>SUM(F41)</f>
        <v>400000</v>
      </c>
      <c r="G42" s="97">
        <f>SUM(G41)</f>
        <v>0</v>
      </c>
      <c r="H42" s="97">
        <f>SUM(H41)</f>
        <v>400000</v>
      </c>
      <c r="M42" s="335"/>
      <c r="N42" s="335"/>
      <c r="O42" s="335"/>
      <c r="P42" s="335"/>
      <c r="Q42" s="335"/>
      <c r="R42" s="335"/>
      <c r="S42" s="106"/>
      <c r="T42" s="336"/>
    </row>
    <row r="43" spans="1:20" ht="15">
      <c r="A43" s="98"/>
      <c r="M43" s="335"/>
      <c r="N43" s="335"/>
      <c r="O43" s="335"/>
      <c r="P43" s="107"/>
      <c r="Q43" s="107"/>
      <c r="R43" s="108"/>
      <c r="S43" s="108"/>
      <c r="T43" s="336"/>
    </row>
    <row r="44" spans="1:8" ht="15.75" customHeight="1">
      <c r="A44" s="82" t="s">
        <v>127</v>
      </c>
      <c r="B44" s="109"/>
      <c r="C44" s="109">
        <v>111</v>
      </c>
      <c r="D44" s="109"/>
      <c r="E44" s="110"/>
      <c r="F44" s="111">
        <f>F31+F42</f>
        <v>84372599.9997772</v>
      </c>
      <c r="G44" s="111">
        <f>G31+G42</f>
        <v>3500000</v>
      </c>
      <c r="H44" s="111">
        <f>H31+H42</f>
        <v>87872599.9997772</v>
      </c>
    </row>
    <row r="45" spans="1:7" ht="8.25" customHeight="1">
      <c r="A45" s="112"/>
      <c r="B45" s="112"/>
      <c r="C45" s="113"/>
      <c r="D45" s="113"/>
      <c r="E45" s="113"/>
      <c r="F45" s="114"/>
      <c r="G45" s="115"/>
    </row>
    <row r="46" spans="1:8" ht="15.75" customHeight="1">
      <c r="A46" s="325" t="s">
        <v>128</v>
      </c>
      <c r="B46" s="325"/>
      <c r="C46" s="325"/>
      <c r="D46" s="325"/>
      <c r="E46" s="325"/>
      <c r="F46" s="325"/>
      <c r="G46" s="325"/>
      <c r="H46" s="325"/>
    </row>
    <row r="47" spans="1:256" s="77" customFormat="1" ht="10.5" customHeight="1">
      <c r="A47" s="81"/>
      <c r="B47" s="81"/>
      <c r="C47" s="81"/>
      <c r="D47" s="81"/>
      <c r="E47" s="81"/>
      <c r="IV47"/>
    </row>
    <row r="48" spans="1:8" ht="15.75" customHeight="1">
      <c r="A48" s="323" t="s">
        <v>129</v>
      </c>
      <c r="B48" s="323"/>
      <c r="C48" s="323"/>
      <c r="D48" s="323"/>
      <c r="E48" s="323"/>
      <c r="F48" s="323"/>
      <c r="G48" s="323"/>
      <c r="H48" s="323"/>
    </row>
    <row r="49" spans="1:8" ht="12" customHeight="1">
      <c r="A49" s="323"/>
      <c r="B49" s="323"/>
      <c r="C49" s="323"/>
      <c r="D49" s="323"/>
      <c r="E49" s="323"/>
      <c r="F49" s="323"/>
      <c r="G49" s="323"/>
      <c r="H49" s="323"/>
    </row>
    <row r="50" spans="1:8" s="83" customFormat="1" ht="18" customHeight="1">
      <c r="A50" s="307" t="s">
        <v>130</v>
      </c>
      <c r="B50" s="307"/>
      <c r="C50" s="307"/>
      <c r="D50" s="307"/>
      <c r="E50" s="307"/>
      <c r="F50" s="307"/>
      <c r="G50" s="307"/>
      <c r="H50" s="307"/>
    </row>
    <row r="51" spans="1:8" s="83" customFormat="1" ht="16.5" customHeight="1">
      <c r="A51" s="301" t="s">
        <v>104</v>
      </c>
      <c r="B51" s="329" t="s">
        <v>131</v>
      </c>
      <c r="C51" s="301" t="s">
        <v>106</v>
      </c>
      <c r="D51" s="301"/>
      <c r="E51" s="301"/>
      <c r="F51" s="301"/>
      <c r="G51" s="301"/>
      <c r="H51" s="302" t="s">
        <v>107</v>
      </c>
    </row>
    <row r="52" spans="1:8" ht="48" customHeight="1">
      <c r="A52" s="301"/>
      <c r="B52" s="329"/>
      <c r="C52" s="301" t="s">
        <v>108</v>
      </c>
      <c r="D52" s="301"/>
      <c r="E52" s="301"/>
      <c r="F52" s="301"/>
      <c r="G52" s="85" t="s">
        <v>12</v>
      </c>
      <c r="H52" s="302"/>
    </row>
    <row r="53" spans="1:8" s="84" customFormat="1" ht="49.5" customHeight="1">
      <c r="A53" s="301"/>
      <c r="B53" s="329"/>
      <c r="C53" s="329" t="s">
        <v>132</v>
      </c>
      <c r="D53" s="329"/>
      <c r="E53" s="86" t="s">
        <v>133</v>
      </c>
      <c r="F53" s="87" t="s">
        <v>134</v>
      </c>
      <c r="G53" s="100" t="s">
        <v>112</v>
      </c>
      <c r="H53" s="302"/>
    </row>
    <row r="54" spans="1:8" ht="15" customHeight="1">
      <c r="A54" s="86">
        <v>1</v>
      </c>
      <c r="B54" s="86">
        <v>2</v>
      </c>
      <c r="C54" s="334">
        <v>3</v>
      </c>
      <c r="D54" s="334"/>
      <c r="E54" s="86">
        <v>4</v>
      </c>
      <c r="F54" s="86" t="s">
        <v>135</v>
      </c>
      <c r="G54" s="86">
        <v>6</v>
      </c>
      <c r="H54" s="86" t="s">
        <v>125</v>
      </c>
    </row>
    <row r="55" spans="1:8" ht="17.25" customHeight="1">
      <c r="A55" s="116">
        <v>1</v>
      </c>
      <c r="B55" s="304" t="s">
        <v>136</v>
      </c>
      <c r="C55" s="304"/>
      <c r="D55" s="304"/>
      <c r="E55" s="304"/>
      <c r="F55" s="117">
        <f>SUM(F57:F60)</f>
        <v>18561999.999950983</v>
      </c>
      <c r="G55" s="117">
        <f>SUM(G57:G60)</f>
        <v>794900</v>
      </c>
      <c r="H55" s="117">
        <f>F55+G55</f>
        <v>19356899.999950983</v>
      </c>
    </row>
    <row r="56" spans="1:8" ht="15" customHeight="1">
      <c r="A56" s="118"/>
      <c r="B56" s="303" t="s">
        <v>8</v>
      </c>
      <c r="C56" s="303"/>
      <c r="D56" s="303"/>
      <c r="E56" s="303"/>
      <c r="F56" s="119"/>
      <c r="G56" s="120"/>
      <c r="H56" s="120"/>
    </row>
    <row r="57" spans="1:8" ht="15.75" customHeight="1">
      <c r="A57" s="118" t="s">
        <v>137</v>
      </c>
      <c r="B57" s="90" t="s">
        <v>114</v>
      </c>
      <c r="C57" s="333">
        <f>F27+14300</f>
        <v>4833699.9999984</v>
      </c>
      <c r="D57" s="333"/>
      <c r="E57" s="121">
        <v>22</v>
      </c>
      <c r="F57" s="119">
        <f>C57*E57/100</f>
        <v>1063413.999999648</v>
      </c>
      <c r="G57" s="122"/>
      <c r="H57" s="122">
        <f>F57+G57</f>
        <v>1063413.999999648</v>
      </c>
    </row>
    <row r="58" spans="1:8" ht="15.75" customHeight="1">
      <c r="A58" s="118"/>
      <c r="B58" s="90" t="s">
        <v>115</v>
      </c>
      <c r="C58" s="333">
        <f>F28+41200</f>
        <v>13896899.999994002</v>
      </c>
      <c r="D58" s="333"/>
      <c r="E58" s="121">
        <v>22</v>
      </c>
      <c r="F58" s="119">
        <f>C58*E58/100</f>
        <v>3057317.9999986803</v>
      </c>
      <c r="G58" s="122">
        <f>G28*E58/100</f>
        <v>0</v>
      </c>
      <c r="H58" s="122">
        <f>F58+G58</f>
        <v>3057317.9999986803</v>
      </c>
    </row>
    <row r="59" spans="1:8" ht="15.75" customHeight="1">
      <c r="A59" s="118"/>
      <c r="B59" s="90" t="s">
        <v>116</v>
      </c>
      <c r="C59" s="333">
        <f>F29+121000</f>
        <v>41086399.999872</v>
      </c>
      <c r="D59" s="333"/>
      <c r="E59" s="121">
        <v>22</v>
      </c>
      <c r="F59" s="119">
        <f>C59*E59/100</f>
        <v>9039007.99997184</v>
      </c>
      <c r="G59" s="122">
        <f>G29*E59/100</f>
        <v>0</v>
      </c>
      <c r="H59" s="122">
        <f>F59+G59</f>
        <v>9039007.99997184</v>
      </c>
    </row>
    <row r="60" spans="1:8" ht="15.75" customHeight="1">
      <c r="A60" s="118"/>
      <c r="B60" s="90" t="s">
        <v>117</v>
      </c>
      <c r="C60" s="333">
        <f>F30+73500+150000</f>
        <v>24555599.9999128</v>
      </c>
      <c r="D60" s="333"/>
      <c r="E60" s="121">
        <v>22</v>
      </c>
      <c r="F60" s="119">
        <f>C60*E60/100+28</f>
        <v>5402259.999980816</v>
      </c>
      <c r="G60" s="122">
        <f>(G30+G117)*E60/100+2900-33000</f>
        <v>794900</v>
      </c>
      <c r="H60" s="122">
        <f>F60+G60</f>
        <v>6197159.999980816</v>
      </c>
    </row>
    <row r="61" spans="1:8" ht="33" customHeight="1">
      <c r="A61" s="116">
        <v>2</v>
      </c>
      <c r="B61" s="304" t="s">
        <v>138</v>
      </c>
      <c r="C61" s="304"/>
      <c r="D61" s="304"/>
      <c r="E61" s="304"/>
      <c r="F61" s="117">
        <f>F63+F68</f>
        <v>2615599.9999930933</v>
      </c>
      <c r="G61" s="117">
        <f>G63+G68</f>
        <v>111600</v>
      </c>
      <c r="H61" s="117">
        <f>F61+G61</f>
        <v>2727199.9999930933</v>
      </c>
    </row>
    <row r="62" spans="1:8" ht="15" customHeight="1">
      <c r="A62" s="118"/>
      <c r="B62" s="303" t="s">
        <v>8</v>
      </c>
      <c r="C62" s="303"/>
      <c r="D62" s="303"/>
      <c r="E62" s="303"/>
      <c r="F62" s="119"/>
      <c r="G62" s="120"/>
      <c r="H62" s="120"/>
    </row>
    <row r="63" spans="1:8" ht="33.75" customHeight="1">
      <c r="A63" s="118" t="s">
        <v>139</v>
      </c>
      <c r="B63" s="303" t="s">
        <v>140</v>
      </c>
      <c r="C63" s="303"/>
      <c r="D63" s="303"/>
      <c r="E63" s="303"/>
      <c r="F63" s="119">
        <f>SUM(F64:F67)</f>
        <v>2446799.999993539</v>
      </c>
      <c r="G63" s="119">
        <f>SUM(G64:G67)</f>
        <v>104400</v>
      </c>
      <c r="H63" s="119">
        <f>SUM(H64:H67)</f>
        <v>2551199.999993539</v>
      </c>
    </row>
    <row r="64" spans="1:8" ht="15" customHeight="1">
      <c r="A64" s="118"/>
      <c r="B64" s="90" t="s">
        <v>114</v>
      </c>
      <c r="C64" s="333">
        <f>F27+14300</f>
        <v>4833699.9999984</v>
      </c>
      <c r="D64" s="333"/>
      <c r="E64" s="91">
        <v>2.9</v>
      </c>
      <c r="F64" s="119">
        <f>C64*E64/100</f>
        <v>140177.2999999536</v>
      </c>
      <c r="G64" s="122">
        <f>G27*E64/100</f>
        <v>0</v>
      </c>
      <c r="H64" s="122">
        <f>F64+G64</f>
        <v>140177.2999999536</v>
      </c>
    </row>
    <row r="65" spans="1:8" ht="15" customHeight="1">
      <c r="A65" s="118"/>
      <c r="B65" s="90" t="s">
        <v>115</v>
      </c>
      <c r="C65" s="333">
        <f>F28+41200</f>
        <v>13896899.999994002</v>
      </c>
      <c r="D65" s="333"/>
      <c r="E65" s="91">
        <v>2.9</v>
      </c>
      <c r="F65" s="119">
        <f>C65*E65/100</f>
        <v>403010.09999982605</v>
      </c>
      <c r="G65" s="122">
        <f>G28*E65/100</f>
        <v>0</v>
      </c>
      <c r="H65" s="122">
        <f>F65+G65</f>
        <v>403010.09999982605</v>
      </c>
    </row>
    <row r="66" spans="1:8" ht="15" customHeight="1">
      <c r="A66" s="118"/>
      <c r="B66" s="90" t="s">
        <v>116</v>
      </c>
      <c r="C66" s="333">
        <f>F29+121000</f>
        <v>41086399.999872</v>
      </c>
      <c r="D66" s="333"/>
      <c r="E66" s="91">
        <v>2.9</v>
      </c>
      <c r="F66" s="119">
        <f>C66*E66/100</f>
        <v>1191505.599996288</v>
      </c>
      <c r="G66" s="122">
        <f>G29*E66/100</f>
        <v>0</v>
      </c>
      <c r="H66" s="122">
        <f>F66+G66</f>
        <v>1191505.599996288</v>
      </c>
    </row>
    <row r="67" spans="1:8" ht="15" customHeight="1">
      <c r="A67" s="118"/>
      <c r="B67" s="90" t="s">
        <v>117</v>
      </c>
      <c r="C67" s="333">
        <f>F30+73500+150000</f>
        <v>24555599.9999128</v>
      </c>
      <c r="D67" s="333"/>
      <c r="E67" s="91">
        <v>2.9</v>
      </c>
      <c r="F67" s="119">
        <f>C67*E67/100-5.4</f>
        <v>712106.9999974711</v>
      </c>
      <c r="G67" s="122">
        <f>(G30+G117)*E67/100-4350</f>
        <v>104400</v>
      </c>
      <c r="H67" s="122">
        <f>F67+G67</f>
        <v>816506.9999974711</v>
      </c>
    </row>
    <row r="68" spans="1:8" ht="34.5" customHeight="1">
      <c r="A68" s="118" t="s">
        <v>141</v>
      </c>
      <c r="B68" s="303" t="s">
        <v>142</v>
      </c>
      <c r="C68" s="303"/>
      <c r="D68" s="303"/>
      <c r="E68" s="303"/>
      <c r="F68" s="119">
        <f>SUM(F69:F72)</f>
        <v>168799.9999995544</v>
      </c>
      <c r="G68" s="119">
        <f>SUM(G69:G72)</f>
        <v>7200</v>
      </c>
      <c r="H68" s="119">
        <f>SUM(H69:H72)</f>
        <v>175999.9999995544</v>
      </c>
    </row>
    <row r="69" spans="1:8" ht="18" customHeight="1">
      <c r="A69" s="118"/>
      <c r="B69" s="90" t="s">
        <v>114</v>
      </c>
      <c r="C69" s="333">
        <f>F27+14300</f>
        <v>4833699.9999984</v>
      </c>
      <c r="D69" s="333"/>
      <c r="E69" s="91">
        <v>0.2</v>
      </c>
      <c r="F69" s="119">
        <f>C69*E69/100</f>
        <v>9667.3999999968</v>
      </c>
      <c r="G69" s="123">
        <f>G27*E69/100</f>
        <v>0</v>
      </c>
      <c r="H69" s="122">
        <f aca="true" t="shared" si="0" ref="H69:H77">F69+G69</f>
        <v>9667.3999999968</v>
      </c>
    </row>
    <row r="70" spans="1:8" ht="15" customHeight="1">
      <c r="A70" s="118"/>
      <c r="B70" s="90" t="s">
        <v>115</v>
      </c>
      <c r="C70" s="333">
        <f>F28+41200</f>
        <v>13896899.999994002</v>
      </c>
      <c r="D70" s="333"/>
      <c r="E70" s="91">
        <v>0.2</v>
      </c>
      <c r="F70" s="119">
        <f>C70*E70/100</f>
        <v>27793.799999988005</v>
      </c>
      <c r="G70" s="123">
        <f>G28*E70/100</f>
        <v>0</v>
      </c>
      <c r="H70" s="122">
        <f t="shared" si="0"/>
        <v>27793.799999988005</v>
      </c>
    </row>
    <row r="71" spans="1:8" ht="14.25" customHeight="1">
      <c r="A71" s="118"/>
      <c r="B71" s="90" t="s">
        <v>116</v>
      </c>
      <c r="C71" s="333">
        <f>F29+121000</f>
        <v>41086399.999872</v>
      </c>
      <c r="D71" s="333"/>
      <c r="E71" s="91">
        <v>0.2</v>
      </c>
      <c r="F71" s="119">
        <f>C71*E71/100</f>
        <v>82172.79999974399</v>
      </c>
      <c r="G71" s="123">
        <f>G29*E71/100</f>
        <v>0</v>
      </c>
      <c r="H71" s="122">
        <f t="shared" si="0"/>
        <v>82172.79999974399</v>
      </c>
    </row>
    <row r="72" spans="1:8" ht="14.25" customHeight="1">
      <c r="A72" s="118"/>
      <c r="B72" s="90" t="s">
        <v>117</v>
      </c>
      <c r="C72" s="333">
        <f>F30+73500+150000</f>
        <v>24555599.9999128</v>
      </c>
      <c r="D72" s="333"/>
      <c r="E72" s="91">
        <v>0.2</v>
      </c>
      <c r="F72" s="119">
        <f>C72*E72/100+54.8</f>
        <v>49165.9999998256</v>
      </c>
      <c r="G72" s="123">
        <f>(G30+G117)*E72/100-300</f>
        <v>7200</v>
      </c>
      <c r="H72" s="122">
        <f t="shared" si="0"/>
        <v>56365.9999998256</v>
      </c>
    </row>
    <row r="73" spans="1:8" ht="36" customHeight="1">
      <c r="A73" s="116">
        <v>3</v>
      </c>
      <c r="B73" s="304" t="s">
        <v>143</v>
      </c>
      <c r="C73" s="304"/>
      <c r="D73" s="304"/>
      <c r="E73" s="304"/>
      <c r="F73" s="117">
        <f>SUM(F74:F77)</f>
        <v>4302999.999988636</v>
      </c>
      <c r="G73" s="117">
        <f>SUM(G74:G77)</f>
        <v>183600</v>
      </c>
      <c r="H73" s="117">
        <f t="shared" si="0"/>
        <v>4486599.999988636</v>
      </c>
    </row>
    <row r="74" spans="1:8" ht="15.75" customHeight="1">
      <c r="A74" s="118"/>
      <c r="B74" s="90" t="s">
        <v>114</v>
      </c>
      <c r="C74" s="333">
        <f>F27+14300</f>
        <v>4833699.9999984</v>
      </c>
      <c r="D74" s="333"/>
      <c r="E74" s="91">
        <v>5.1</v>
      </c>
      <c r="F74" s="119">
        <f>C74*E74/100</f>
        <v>246518.69999991838</v>
      </c>
      <c r="G74" s="122">
        <f>G27*E74/100</f>
        <v>0</v>
      </c>
      <c r="H74" s="124">
        <f t="shared" si="0"/>
        <v>246518.69999991838</v>
      </c>
    </row>
    <row r="75" spans="1:8" ht="15.75" customHeight="1">
      <c r="A75" s="118"/>
      <c r="B75" s="90" t="s">
        <v>115</v>
      </c>
      <c r="C75" s="333">
        <f>F28+41200</f>
        <v>13896899.999994002</v>
      </c>
      <c r="D75" s="333"/>
      <c r="E75" s="91">
        <v>5.1</v>
      </c>
      <c r="F75" s="119">
        <f>C75*E75/100</f>
        <v>708741.8999996941</v>
      </c>
      <c r="G75" s="122">
        <f>G28*E75/100</f>
        <v>0</v>
      </c>
      <c r="H75" s="124">
        <f t="shared" si="0"/>
        <v>708741.8999996941</v>
      </c>
    </row>
    <row r="76" spans="1:8" ht="15" customHeight="1">
      <c r="A76" s="118"/>
      <c r="B76" s="90" t="s">
        <v>116</v>
      </c>
      <c r="C76" s="333">
        <f>F29+121000</f>
        <v>41086399.999872</v>
      </c>
      <c r="D76" s="333"/>
      <c r="E76" s="91">
        <v>5.1</v>
      </c>
      <c r="F76" s="119">
        <f>C76*E76/100</f>
        <v>2095406.3999934718</v>
      </c>
      <c r="G76" s="122">
        <f>G29*E76/100</f>
        <v>0</v>
      </c>
      <c r="H76" s="124">
        <f t="shared" si="0"/>
        <v>2095406.3999934718</v>
      </c>
    </row>
    <row r="77" spans="1:8" ht="15" customHeight="1">
      <c r="A77" s="118"/>
      <c r="B77" s="90" t="s">
        <v>117</v>
      </c>
      <c r="C77" s="333">
        <f>F30+73500+150000</f>
        <v>24555599.9999128</v>
      </c>
      <c r="D77" s="333"/>
      <c r="E77" s="91">
        <v>5.1</v>
      </c>
      <c r="F77" s="119">
        <f>C77*E77/100-2.6</f>
        <v>1252332.9999955525</v>
      </c>
      <c r="G77" s="122">
        <f>(G30+G117)*E77/100-7650</f>
        <v>183600</v>
      </c>
      <c r="H77" s="124">
        <f t="shared" si="0"/>
        <v>1435932.9999955525</v>
      </c>
    </row>
    <row r="78" spans="1:8" ht="15.75" customHeight="1">
      <c r="A78" s="116"/>
      <c r="B78" s="125" t="s">
        <v>118</v>
      </c>
      <c r="C78" s="333">
        <f>F31</f>
        <v>83972599.9997772</v>
      </c>
      <c r="D78" s="333"/>
      <c r="E78" s="117"/>
      <c r="F78" s="117">
        <f>F55+F61+F73</f>
        <v>25480599.999932714</v>
      </c>
      <c r="G78" s="117">
        <f>G55+G61+G73</f>
        <v>1090100</v>
      </c>
      <c r="H78" s="117">
        <f>H55+H61+H73</f>
        <v>26570699.999932714</v>
      </c>
    </row>
    <row r="79" ht="15">
      <c r="A79" s="98"/>
    </row>
    <row r="80" spans="1:8" ht="15.75" customHeight="1">
      <c r="A80" s="126" t="s">
        <v>127</v>
      </c>
      <c r="B80" s="126"/>
      <c r="C80" s="126">
        <v>119</v>
      </c>
      <c r="D80" s="109"/>
      <c r="E80" s="110"/>
      <c r="F80" s="127">
        <f>F78</f>
        <v>25480599.999932714</v>
      </c>
      <c r="G80" s="127">
        <f>G78</f>
        <v>1090100</v>
      </c>
      <c r="H80" s="127">
        <f>H78</f>
        <v>26570699.999932714</v>
      </c>
    </row>
    <row r="81" ht="15">
      <c r="A81" s="98"/>
    </row>
    <row r="82" spans="1:8" ht="51" customHeight="1">
      <c r="A82" s="323" t="s">
        <v>144</v>
      </c>
      <c r="B82" s="323"/>
      <c r="C82" s="323"/>
      <c r="D82" s="323"/>
      <c r="E82" s="323"/>
      <c r="F82" s="323"/>
      <c r="G82" s="323"/>
      <c r="H82" s="323"/>
    </row>
    <row r="83" spans="1:8" ht="16.5" customHeight="1">
      <c r="A83" s="317"/>
      <c r="B83" s="317"/>
      <c r="C83" s="317"/>
      <c r="D83" s="317"/>
      <c r="E83" s="317"/>
      <c r="F83" s="317"/>
      <c r="G83" s="317"/>
      <c r="H83" s="317"/>
    </row>
    <row r="84" spans="1:8" ht="15.75" customHeight="1">
      <c r="A84" s="325" t="s">
        <v>145</v>
      </c>
      <c r="B84" s="325"/>
      <c r="C84" s="325"/>
      <c r="D84" s="325"/>
      <c r="E84" s="325"/>
      <c r="F84" s="325"/>
      <c r="G84" s="325"/>
      <c r="H84" s="325"/>
    </row>
    <row r="85" spans="1:8" ht="13.5" customHeight="1">
      <c r="A85" s="346"/>
      <c r="B85" s="346"/>
      <c r="C85" s="346"/>
      <c r="D85" s="346"/>
      <c r="E85" s="346"/>
      <c r="F85" s="346"/>
      <c r="G85" s="346"/>
      <c r="H85" s="346"/>
    </row>
    <row r="86" spans="1:8" s="83" customFormat="1" ht="20.25" customHeight="1">
      <c r="A86" s="307" t="s">
        <v>146</v>
      </c>
      <c r="B86" s="307"/>
      <c r="C86" s="307"/>
      <c r="D86" s="307"/>
      <c r="E86" s="307"/>
      <c r="F86" s="307"/>
      <c r="G86" s="307"/>
      <c r="H86" s="307"/>
    </row>
    <row r="87" spans="1:8" ht="15.75" customHeight="1">
      <c r="A87" s="301" t="s">
        <v>104</v>
      </c>
      <c r="B87" s="301" t="s">
        <v>2</v>
      </c>
      <c r="C87" s="301" t="s">
        <v>106</v>
      </c>
      <c r="D87" s="301"/>
      <c r="E87" s="301"/>
      <c r="F87" s="301"/>
      <c r="G87" s="301"/>
      <c r="H87" s="302" t="s">
        <v>107</v>
      </c>
    </row>
    <row r="88" spans="1:8" ht="51.75" customHeight="1">
      <c r="A88" s="301"/>
      <c r="B88" s="301"/>
      <c r="C88" s="301" t="s">
        <v>108</v>
      </c>
      <c r="D88" s="301"/>
      <c r="E88" s="301"/>
      <c r="F88" s="301"/>
      <c r="G88" s="85" t="s">
        <v>12</v>
      </c>
      <c r="H88" s="302"/>
    </row>
    <row r="89" spans="1:8" ht="30" customHeight="1">
      <c r="A89" s="301"/>
      <c r="B89" s="301"/>
      <c r="C89" s="329" t="s">
        <v>147</v>
      </c>
      <c r="D89" s="329"/>
      <c r="E89" s="87" t="s">
        <v>123</v>
      </c>
      <c r="F89" s="129" t="s">
        <v>148</v>
      </c>
      <c r="G89" s="100" t="s">
        <v>112</v>
      </c>
      <c r="H89" s="302"/>
    </row>
    <row r="90" spans="1:8" ht="15" customHeight="1">
      <c r="A90" s="87">
        <v>1</v>
      </c>
      <c r="B90" s="87">
        <v>2</v>
      </c>
      <c r="C90" s="329">
        <v>3</v>
      </c>
      <c r="D90" s="329"/>
      <c r="E90" s="88">
        <v>4</v>
      </c>
      <c r="F90" s="88" t="s">
        <v>124</v>
      </c>
      <c r="G90" s="88">
        <v>6</v>
      </c>
      <c r="H90" s="88" t="s">
        <v>125</v>
      </c>
    </row>
    <row r="91" spans="1:8" ht="55.5" customHeight="1">
      <c r="A91" s="87">
        <v>1</v>
      </c>
      <c r="B91" s="130" t="s">
        <v>149</v>
      </c>
      <c r="C91" s="330"/>
      <c r="D91" s="330"/>
      <c r="E91" s="131"/>
      <c r="F91" s="93"/>
      <c r="G91" s="104">
        <v>0</v>
      </c>
      <c r="H91" s="104">
        <f>F91+G91</f>
        <v>0</v>
      </c>
    </row>
    <row r="92" spans="1:8" ht="14.25" customHeight="1">
      <c r="A92" s="331" t="s">
        <v>118</v>
      </c>
      <c r="B92" s="331"/>
      <c r="C92" s="332" t="s">
        <v>119</v>
      </c>
      <c r="D92" s="332"/>
      <c r="E92" s="96" t="s">
        <v>119</v>
      </c>
      <c r="F92" s="97">
        <f>SUM(F91)</f>
        <v>0</v>
      </c>
      <c r="G92" s="97">
        <f>SUM(G91)</f>
        <v>0</v>
      </c>
      <c r="H92" s="97">
        <f>SUM(H91)</f>
        <v>0</v>
      </c>
    </row>
    <row r="93" ht="15">
      <c r="A93" s="98"/>
    </row>
    <row r="94" spans="1:8" ht="18.75">
      <c r="A94" s="307" t="s">
        <v>150</v>
      </c>
      <c r="B94" s="307"/>
      <c r="C94" s="307"/>
      <c r="D94" s="307"/>
      <c r="E94" s="307"/>
      <c r="F94" s="307"/>
      <c r="G94" s="307"/>
      <c r="H94" s="307"/>
    </row>
    <row r="95" spans="1:8" ht="15">
      <c r="A95" s="301" t="s">
        <v>104</v>
      </c>
      <c r="B95" s="301" t="s">
        <v>2</v>
      </c>
      <c r="C95" s="301" t="s">
        <v>106</v>
      </c>
      <c r="D95" s="301"/>
      <c r="E95" s="301"/>
      <c r="F95" s="301"/>
      <c r="G95" s="301"/>
      <c r="H95" s="302" t="s">
        <v>107</v>
      </c>
    </row>
    <row r="96" spans="1:8" ht="63.75">
      <c r="A96" s="301"/>
      <c r="B96" s="301"/>
      <c r="C96" s="301" t="s">
        <v>108</v>
      </c>
      <c r="D96" s="301"/>
      <c r="E96" s="301"/>
      <c r="F96" s="301"/>
      <c r="G96" s="132" t="s">
        <v>12</v>
      </c>
      <c r="H96" s="302"/>
    </row>
    <row r="97" spans="1:8" ht="30" customHeight="1">
      <c r="A97" s="301"/>
      <c r="B97" s="301"/>
      <c r="C97" s="329" t="s">
        <v>147</v>
      </c>
      <c r="D97" s="329"/>
      <c r="E97" s="87" t="s">
        <v>123</v>
      </c>
      <c r="F97" s="129" t="s">
        <v>148</v>
      </c>
      <c r="G97" s="100" t="s">
        <v>112</v>
      </c>
      <c r="H97" s="302"/>
    </row>
    <row r="98" spans="1:8" ht="15">
      <c r="A98" s="87">
        <v>1</v>
      </c>
      <c r="B98" s="87">
        <v>2</v>
      </c>
      <c r="C98" s="329">
        <v>3</v>
      </c>
      <c r="D98" s="329"/>
      <c r="E98" s="88">
        <v>4</v>
      </c>
      <c r="F98" s="88" t="s">
        <v>124</v>
      </c>
      <c r="G98" s="88">
        <v>6</v>
      </c>
      <c r="H98" s="88" t="s">
        <v>125</v>
      </c>
    </row>
    <row r="99" spans="1:8" ht="30">
      <c r="A99" s="87">
        <v>1</v>
      </c>
      <c r="B99" s="90" t="s">
        <v>151</v>
      </c>
      <c r="C99" s="330"/>
      <c r="D99" s="330"/>
      <c r="E99" s="131"/>
      <c r="F99" s="93">
        <f>C99*E99</f>
        <v>0</v>
      </c>
      <c r="G99" s="133">
        <f>10000+14000</f>
        <v>24000</v>
      </c>
      <c r="H99" s="133">
        <f>F99+G99</f>
        <v>24000</v>
      </c>
    </row>
    <row r="100" spans="1:8" ht="18.75" customHeight="1">
      <c r="A100" s="331" t="s">
        <v>118</v>
      </c>
      <c r="B100" s="331"/>
      <c r="C100" s="332" t="s">
        <v>119</v>
      </c>
      <c r="D100" s="332"/>
      <c r="E100" s="96" t="s">
        <v>119</v>
      </c>
      <c r="F100" s="97">
        <f>SUM(F99)</f>
        <v>0</v>
      </c>
      <c r="G100" s="97">
        <f>SUM(G99)</f>
        <v>24000</v>
      </c>
      <c r="H100" s="97">
        <f>SUM(H99)</f>
        <v>24000</v>
      </c>
    </row>
    <row r="101" ht="15">
      <c r="A101" s="98"/>
    </row>
    <row r="102" spans="1:8" ht="18.75">
      <c r="A102" s="307" t="s">
        <v>152</v>
      </c>
      <c r="B102" s="307"/>
      <c r="C102" s="307"/>
      <c r="D102" s="307"/>
      <c r="E102" s="307"/>
      <c r="F102" s="307"/>
      <c r="G102" s="307"/>
      <c r="H102" s="307"/>
    </row>
    <row r="103" spans="1:8" ht="15">
      <c r="A103" s="301" t="s">
        <v>104</v>
      </c>
      <c r="B103" s="301" t="s">
        <v>2</v>
      </c>
      <c r="C103" s="301" t="s">
        <v>106</v>
      </c>
      <c r="D103" s="301"/>
      <c r="E103" s="301"/>
      <c r="F103" s="301"/>
      <c r="G103" s="301"/>
      <c r="H103" s="302" t="s">
        <v>107</v>
      </c>
    </row>
    <row r="104" spans="1:8" ht="48">
      <c r="A104" s="301"/>
      <c r="B104" s="301"/>
      <c r="C104" s="301" t="s">
        <v>108</v>
      </c>
      <c r="D104" s="301"/>
      <c r="E104" s="301"/>
      <c r="F104" s="301"/>
      <c r="G104" s="85" t="s">
        <v>12</v>
      </c>
      <c r="H104" s="302"/>
    </row>
    <row r="105" spans="1:8" ht="30" customHeight="1">
      <c r="A105" s="301"/>
      <c r="B105" s="301"/>
      <c r="C105" s="329" t="s">
        <v>147</v>
      </c>
      <c r="D105" s="329"/>
      <c r="E105" s="87" t="s">
        <v>123</v>
      </c>
      <c r="F105" s="129" t="s">
        <v>148</v>
      </c>
      <c r="G105" s="100" t="s">
        <v>112</v>
      </c>
      <c r="H105" s="302"/>
    </row>
    <row r="106" spans="1:8" ht="15">
      <c r="A106" s="87">
        <v>1</v>
      </c>
      <c r="B106" s="87">
        <v>2</v>
      </c>
      <c r="C106" s="329">
        <v>3</v>
      </c>
      <c r="D106" s="329"/>
      <c r="E106" s="88">
        <v>4</v>
      </c>
      <c r="F106" s="88" t="s">
        <v>124</v>
      </c>
      <c r="G106" s="88">
        <v>6</v>
      </c>
      <c r="H106" s="88" t="s">
        <v>125</v>
      </c>
    </row>
    <row r="107" spans="1:8" ht="45">
      <c r="A107" s="87">
        <v>1</v>
      </c>
      <c r="B107" s="90" t="s">
        <v>153</v>
      </c>
      <c r="C107" s="330">
        <v>0</v>
      </c>
      <c r="D107" s="330"/>
      <c r="E107" s="131">
        <v>0</v>
      </c>
      <c r="F107" s="93">
        <f>C107*E107</f>
        <v>0</v>
      </c>
      <c r="G107" s="133">
        <v>200000</v>
      </c>
      <c r="H107" s="133">
        <f>F107+G107</f>
        <v>200000</v>
      </c>
    </row>
    <row r="108" spans="1:8" ht="18.75" customHeight="1">
      <c r="A108" s="331" t="s">
        <v>118</v>
      </c>
      <c r="B108" s="331"/>
      <c r="C108" s="332" t="s">
        <v>119</v>
      </c>
      <c r="D108" s="332"/>
      <c r="E108" s="96" t="s">
        <v>119</v>
      </c>
      <c r="F108" s="97">
        <f>SUM(F107)</f>
        <v>0</v>
      </c>
      <c r="G108" s="97">
        <f>SUM(G107)</f>
        <v>200000</v>
      </c>
      <c r="H108" s="97">
        <f>SUM(H107)</f>
        <v>200000</v>
      </c>
    </row>
    <row r="109" ht="15">
      <c r="A109" s="98"/>
    </row>
    <row r="110" ht="15">
      <c r="A110" s="98"/>
    </row>
    <row r="111" ht="15">
      <c r="A111" s="98"/>
    </row>
    <row r="112" spans="1:8" ht="18.75">
      <c r="A112" s="307" t="s">
        <v>154</v>
      </c>
      <c r="B112" s="307"/>
      <c r="C112" s="307"/>
      <c r="D112" s="307"/>
      <c r="E112" s="307"/>
      <c r="F112" s="307"/>
      <c r="G112" s="307"/>
      <c r="H112" s="307"/>
    </row>
    <row r="113" spans="1:8" ht="15">
      <c r="A113" s="301" t="s">
        <v>104</v>
      </c>
      <c r="B113" s="301" t="s">
        <v>2</v>
      </c>
      <c r="C113" s="301" t="s">
        <v>106</v>
      </c>
      <c r="D113" s="301"/>
      <c r="E113" s="301"/>
      <c r="F113" s="301"/>
      <c r="G113" s="301"/>
      <c r="H113" s="302" t="s">
        <v>107</v>
      </c>
    </row>
    <row r="114" spans="1:8" ht="48">
      <c r="A114" s="301"/>
      <c r="B114" s="301"/>
      <c r="C114" s="301" t="s">
        <v>108</v>
      </c>
      <c r="D114" s="301"/>
      <c r="E114" s="301"/>
      <c r="F114" s="301"/>
      <c r="G114" s="85" t="s">
        <v>12</v>
      </c>
      <c r="H114" s="302"/>
    </row>
    <row r="115" spans="1:8" ht="30" customHeight="1">
      <c r="A115" s="301"/>
      <c r="B115" s="301"/>
      <c r="C115" s="329" t="s">
        <v>147</v>
      </c>
      <c r="D115" s="329"/>
      <c r="E115" s="87" t="s">
        <v>123</v>
      </c>
      <c r="F115" s="129" t="s">
        <v>148</v>
      </c>
      <c r="G115" s="100" t="s">
        <v>112</v>
      </c>
      <c r="H115" s="302"/>
    </row>
    <row r="116" spans="1:8" ht="15">
      <c r="A116" s="87">
        <v>1</v>
      </c>
      <c r="B116" s="87">
        <v>2</v>
      </c>
      <c r="C116" s="329">
        <v>3</v>
      </c>
      <c r="D116" s="329"/>
      <c r="E116" s="88">
        <v>4</v>
      </c>
      <c r="F116" s="88" t="s">
        <v>124</v>
      </c>
      <c r="G116" s="88">
        <v>6</v>
      </c>
      <c r="H116" s="88" t="s">
        <v>125</v>
      </c>
    </row>
    <row r="117" spans="1:8" ht="28.5" customHeight="1">
      <c r="A117" s="87">
        <v>1</v>
      </c>
      <c r="B117" s="134" t="s">
        <v>155</v>
      </c>
      <c r="C117" s="329"/>
      <c r="D117" s="329"/>
      <c r="E117" s="88"/>
      <c r="F117" s="121">
        <v>0</v>
      </c>
      <c r="G117" s="121">
        <f>100000+150000</f>
        <v>250000</v>
      </c>
      <c r="H117" s="121">
        <f>F117+G117</f>
        <v>250000</v>
      </c>
    </row>
    <row r="118" spans="1:8" ht="15.75">
      <c r="A118" s="87">
        <v>2</v>
      </c>
      <c r="B118" s="135" t="s">
        <v>156</v>
      </c>
      <c r="C118" s="329"/>
      <c r="D118" s="329"/>
      <c r="E118" s="88"/>
      <c r="F118" s="121">
        <v>0</v>
      </c>
      <c r="G118" s="121">
        <f>10000+10000+36000</f>
        <v>56000</v>
      </c>
      <c r="H118" s="121">
        <f>F118+G118</f>
        <v>56000</v>
      </c>
    </row>
    <row r="119" spans="1:8" ht="18.75" customHeight="1">
      <c r="A119" s="87">
        <v>3</v>
      </c>
      <c r="B119" s="135" t="s">
        <v>157</v>
      </c>
      <c r="C119" s="330"/>
      <c r="D119" s="330"/>
      <c r="E119" s="131"/>
      <c r="F119" s="121">
        <f>C119*E119</f>
        <v>0</v>
      </c>
      <c r="G119" s="121">
        <f>10000+10000+50000</f>
        <v>70000</v>
      </c>
      <c r="H119" s="121">
        <f>F119+G119</f>
        <v>70000</v>
      </c>
    </row>
    <row r="120" spans="1:8" ht="18.75" customHeight="1">
      <c r="A120" s="331" t="s">
        <v>118</v>
      </c>
      <c r="B120" s="331"/>
      <c r="C120" s="332" t="s">
        <v>119</v>
      </c>
      <c r="D120" s="332"/>
      <c r="E120" s="96" t="s">
        <v>119</v>
      </c>
      <c r="F120" s="97">
        <f>SUM(F119)</f>
        <v>0</v>
      </c>
      <c r="G120" s="97">
        <f>SUM(G117:G119)</f>
        <v>376000</v>
      </c>
      <c r="H120" s="97">
        <f>SUM(H117:H119)</f>
        <v>376000</v>
      </c>
    </row>
    <row r="121" spans="1:8" ht="18.75">
      <c r="A121" s="186"/>
      <c r="B121" s="186"/>
      <c r="C121" s="187"/>
      <c r="D121" s="187"/>
      <c r="E121" s="187"/>
      <c r="F121" s="188"/>
      <c r="G121" s="188"/>
      <c r="H121" s="188"/>
    </row>
    <row r="122" spans="1:8" ht="15.75" customHeight="1">
      <c r="A122" s="82" t="s">
        <v>127</v>
      </c>
      <c r="B122" s="109"/>
      <c r="C122" s="109">
        <v>112</v>
      </c>
      <c r="D122" s="109"/>
      <c r="E122" s="110"/>
      <c r="F122" s="127">
        <f>F92+F100+F108+F120</f>
        <v>0</v>
      </c>
      <c r="G122" s="127">
        <f>G92+G100+G108+G120</f>
        <v>600000</v>
      </c>
      <c r="H122" s="127">
        <f>H92+H100+H108+H120</f>
        <v>600000</v>
      </c>
    </row>
    <row r="123" spans="1:8" ht="34.5" customHeight="1">
      <c r="A123" s="82"/>
      <c r="B123" s="109"/>
      <c r="C123" s="109"/>
      <c r="D123" s="109"/>
      <c r="E123" s="110"/>
      <c r="F123" s="110"/>
      <c r="G123" s="110"/>
      <c r="H123" s="110"/>
    </row>
    <row r="124" spans="1:8" ht="15" customHeight="1">
      <c r="A124" s="323" t="s">
        <v>158</v>
      </c>
      <c r="B124" s="323"/>
      <c r="C124" s="323"/>
      <c r="D124" s="323"/>
      <c r="E124" s="323"/>
      <c r="F124" s="323"/>
      <c r="G124" s="323"/>
      <c r="H124" s="323"/>
    </row>
    <row r="125" spans="1:8" ht="15.75" customHeight="1">
      <c r="A125" s="325" t="s">
        <v>159</v>
      </c>
      <c r="B125" s="325"/>
      <c r="C125" s="325"/>
      <c r="D125" s="325"/>
      <c r="E125" s="325"/>
      <c r="F125" s="325"/>
      <c r="G125" s="325"/>
      <c r="H125" s="325"/>
    </row>
    <row r="126" spans="1:8" ht="15.75">
      <c r="A126" s="328"/>
      <c r="B126" s="328"/>
      <c r="C126" s="328"/>
      <c r="D126" s="328"/>
      <c r="E126" s="328"/>
      <c r="F126" s="328"/>
      <c r="G126" s="328"/>
      <c r="H126" s="328"/>
    </row>
    <row r="127" spans="1:8" s="83" customFormat="1" ht="15" customHeight="1">
      <c r="A127" s="307" t="s">
        <v>160</v>
      </c>
      <c r="B127" s="307"/>
      <c r="C127" s="307"/>
      <c r="D127" s="307"/>
      <c r="E127" s="307"/>
      <c r="F127" s="307"/>
      <c r="G127" s="307"/>
      <c r="H127" s="307"/>
    </row>
    <row r="128" spans="1:8" s="83" customFormat="1" ht="16.5" customHeight="1">
      <c r="A128" s="301" t="s">
        <v>104</v>
      </c>
      <c r="B128" s="301" t="s">
        <v>161</v>
      </c>
      <c r="C128" s="301"/>
      <c r="D128" s="301" t="s">
        <v>106</v>
      </c>
      <c r="E128" s="301"/>
      <c r="F128" s="301"/>
      <c r="G128" s="301"/>
      <c r="H128" s="302" t="s">
        <v>107</v>
      </c>
    </row>
    <row r="129" spans="1:8" ht="48.75" customHeight="1">
      <c r="A129" s="301"/>
      <c r="B129" s="301"/>
      <c r="C129" s="301"/>
      <c r="D129" s="301" t="s">
        <v>108</v>
      </c>
      <c r="E129" s="301"/>
      <c r="F129" s="301"/>
      <c r="G129" s="132" t="s">
        <v>12</v>
      </c>
      <c r="H129" s="302"/>
    </row>
    <row r="130" spans="1:8" s="84" customFormat="1" ht="30.75" customHeight="1">
      <c r="A130" s="301"/>
      <c r="B130" s="301"/>
      <c r="C130" s="301"/>
      <c r="D130" s="87" t="s">
        <v>162</v>
      </c>
      <c r="E130" s="87" t="s">
        <v>163</v>
      </c>
      <c r="F130" s="87" t="s">
        <v>164</v>
      </c>
      <c r="G130" s="100" t="s">
        <v>112</v>
      </c>
      <c r="H130" s="302"/>
    </row>
    <row r="131" spans="1:8" ht="15.75" customHeight="1">
      <c r="A131" s="88">
        <v>1</v>
      </c>
      <c r="B131" s="326">
        <v>2</v>
      </c>
      <c r="C131" s="326"/>
      <c r="D131" s="88">
        <v>3</v>
      </c>
      <c r="E131" s="88">
        <v>4</v>
      </c>
      <c r="F131" s="88" t="s">
        <v>135</v>
      </c>
      <c r="G131" s="88">
        <v>6</v>
      </c>
      <c r="H131" s="88" t="s">
        <v>125</v>
      </c>
    </row>
    <row r="132" spans="1:8" ht="29.25" customHeight="1">
      <c r="A132" s="88" t="s">
        <v>165</v>
      </c>
      <c r="B132" s="327" t="s">
        <v>166</v>
      </c>
      <c r="C132" s="327"/>
      <c r="D132" s="129">
        <v>630000</v>
      </c>
      <c r="E132" s="129">
        <v>1</v>
      </c>
      <c r="F132" s="129"/>
      <c r="G132" s="129">
        <v>15000</v>
      </c>
      <c r="H132" s="129">
        <f>F132+G132</f>
        <v>15000</v>
      </c>
    </row>
    <row r="133" spans="1:8" ht="45.75" customHeight="1">
      <c r="A133" s="88" t="s">
        <v>167</v>
      </c>
      <c r="B133" s="327" t="s">
        <v>168</v>
      </c>
      <c r="C133" s="327"/>
      <c r="D133" s="129"/>
      <c r="E133" s="129"/>
      <c r="F133" s="129"/>
      <c r="G133" s="129">
        <f>40000+150000-90000</f>
        <v>100000</v>
      </c>
      <c r="H133" s="129">
        <f>F133+G133</f>
        <v>100000</v>
      </c>
    </row>
    <row r="134" spans="1:8" ht="33" customHeight="1">
      <c r="A134" s="88" t="s">
        <v>169</v>
      </c>
      <c r="B134" s="305" t="s">
        <v>170</v>
      </c>
      <c r="C134" s="305"/>
      <c r="D134" s="121">
        <v>1</v>
      </c>
      <c r="E134" s="121">
        <v>1</v>
      </c>
      <c r="F134" s="121"/>
      <c r="G134" s="136">
        <v>5000</v>
      </c>
      <c r="H134" s="129">
        <f>F134+G134</f>
        <v>5000</v>
      </c>
    </row>
    <row r="135" spans="1:8" ht="26.25" customHeight="1">
      <c r="A135" s="91" t="s">
        <v>171</v>
      </c>
      <c r="B135" s="305" t="s">
        <v>172</v>
      </c>
      <c r="C135" s="305"/>
      <c r="D135" s="121"/>
      <c r="E135" s="121"/>
      <c r="F135" s="121"/>
      <c r="G135" s="136">
        <f>85000-15000+90000</f>
        <v>160000</v>
      </c>
      <c r="H135" s="129">
        <f>F135+G135</f>
        <v>160000</v>
      </c>
    </row>
    <row r="136" spans="1:8" ht="18" customHeight="1">
      <c r="A136" s="296" t="s">
        <v>118</v>
      </c>
      <c r="B136" s="296"/>
      <c r="C136" s="296"/>
      <c r="D136" s="105"/>
      <c r="E136" s="105" t="s">
        <v>119</v>
      </c>
      <c r="F136" s="137">
        <f>F132</f>
        <v>0</v>
      </c>
      <c r="G136" s="137">
        <f>SUM(G132:G135)</f>
        <v>280000</v>
      </c>
      <c r="H136" s="137">
        <f>SUM(H132:H135)</f>
        <v>280000</v>
      </c>
    </row>
    <row r="137" spans="1:8" ht="15.75">
      <c r="A137" s="113"/>
      <c r="B137" s="138"/>
      <c r="C137" s="138"/>
      <c r="D137" s="113"/>
      <c r="E137" s="113"/>
      <c r="F137" s="139"/>
      <c r="G137" s="140"/>
      <c r="H137" s="140"/>
    </row>
    <row r="138" spans="1:8" ht="15.75" customHeight="1">
      <c r="A138" s="82" t="s">
        <v>127</v>
      </c>
      <c r="B138" s="109"/>
      <c r="C138" s="109" t="s">
        <v>173</v>
      </c>
      <c r="D138" s="109"/>
      <c r="E138" s="110"/>
      <c r="F138" s="127">
        <f>F136</f>
        <v>0</v>
      </c>
      <c r="G138" s="127">
        <f>G136</f>
        <v>280000</v>
      </c>
      <c r="H138" s="127">
        <f>H136</f>
        <v>280000</v>
      </c>
    </row>
    <row r="139" spans="1:6" ht="15.75">
      <c r="A139" s="113"/>
      <c r="B139" s="138"/>
      <c r="C139" s="138"/>
      <c r="D139" s="113"/>
      <c r="E139" s="113"/>
      <c r="F139" s="139"/>
    </row>
    <row r="140" spans="1:8" ht="18.75" customHeight="1">
      <c r="A140" s="323" t="s">
        <v>174</v>
      </c>
      <c r="B140" s="323"/>
      <c r="C140" s="323"/>
      <c r="D140" s="323"/>
      <c r="E140" s="323"/>
      <c r="F140" s="323"/>
      <c r="G140" s="323"/>
      <c r="H140" s="323"/>
    </row>
    <row r="141" spans="1:8" ht="12.75" customHeight="1">
      <c r="A141" s="324"/>
      <c r="B141" s="324"/>
      <c r="C141" s="324"/>
      <c r="D141" s="324"/>
      <c r="E141" s="324"/>
      <c r="F141" s="324"/>
      <c r="G141" s="324"/>
      <c r="H141" s="324"/>
    </row>
    <row r="142" spans="1:8" ht="12.75" customHeight="1">
      <c r="A142" s="325" t="s">
        <v>175</v>
      </c>
      <c r="B142" s="325"/>
      <c r="C142" s="325"/>
      <c r="D142" s="325"/>
      <c r="E142" s="325"/>
      <c r="F142" s="325"/>
      <c r="G142" s="325"/>
      <c r="H142" s="325"/>
    </row>
    <row r="143" spans="1:8" ht="12.75" customHeight="1">
      <c r="A143" s="141"/>
      <c r="B143" s="141"/>
      <c r="C143" s="141"/>
      <c r="D143" s="141"/>
      <c r="E143" s="141"/>
      <c r="F143" s="141"/>
      <c r="G143" s="141"/>
      <c r="H143" s="141"/>
    </row>
    <row r="144" spans="1:8" ht="14.25" customHeight="1">
      <c r="A144" s="315" t="s">
        <v>176</v>
      </c>
      <c r="B144" s="315"/>
      <c r="C144" s="315"/>
      <c r="D144" s="315"/>
      <c r="E144" s="315"/>
      <c r="F144" s="315"/>
      <c r="G144" s="315"/>
      <c r="H144" s="315"/>
    </row>
    <row r="145" spans="1:8" ht="12.75" customHeight="1">
      <c r="A145" s="317"/>
      <c r="B145" s="317"/>
      <c r="C145" s="317"/>
      <c r="D145" s="317"/>
      <c r="E145" s="317"/>
      <c r="F145" s="317"/>
      <c r="G145" s="317"/>
      <c r="H145" s="317"/>
    </row>
    <row r="146" spans="1:8" ht="12.75" customHeight="1">
      <c r="A146" s="307" t="s">
        <v>177</v>
      </c>
      <c r="B146" s="307"/>
      <c r="C146" s="307"/>
      <c r="D146" s="307"/>
      <c r="E146" s="307"/>
      <c r="F146" s="307"/>
      <c r="G146" s="307"/>
      <c r="H146" s="307"/>
    </row>
    <row r="147" spans="1:8" ht="21" customHeight="1">
      <c r="A147" s="301" t="s">
        <v>104</v>
      </c>
      <c r="B147" s="301" t="s">
        <v>161</v>
      </c>
      <c r="C147" s="301"/>
      <c r="D147" s="301"/>
      <c r="E147" s="301" t="s">
        <v>106</v>
      </c>
      <c r="F147" s="301"/>
      <c r="G147" s="301"/>
      <c r="H147" s="301" t="s">
        <v>107</v>
      </c>
    </row>
    <row r="148" spans="1:8" ht="52.5" customHeight="1">
      <c r="A148" s="301"/>
      <c r="B148" s="301"/>
      <c r="C148" s="301"/>
      <c r="D148" s="301"/>
      <c r="E148" s="301" t="s">
        <v>108</v>
      </c>
      <c r="F148" s="301"/>
      <c r="G148" s="85" t="s">
        <v>12</v>
      </c>
      <c r="H148" s="301"/>
    </row>
    <row r="149" spans="1:8" ht="12.75" customHeight="1">
      <c r="A149" s="301"/>
      <c r="B149" s="301"/>
      <c r="C149" s="301"/>
      <c r="D149" s="301"/>
      <c r="E149" s="87" t="s">
        <v>178</v>
      </c>
      <c r="F149" s="87" t="s">
        <v>112</v>
      </c>
      <c r="G149" s="87" t="s">
        <v>112</v>
      </c>
      <c r="H149" s="301"/>
    </row>
    <row r="150" spans="1:8" ht="12.75" customHeight="1">
      <c r="A150" s="91">
        <v>1</v>
      </c>
      <c r="B150" s="303">
        <v>2</v>
      </c>
      <c r="C150" s="303"/>
      <c r="D150" s="303"/>
      <c r="E150" s="91">
        <v>3</v>
      </c>
      <c r="F150" s="91">
        <v>4</v>
      </c>
      <c r="G150" s="91">
        <v>5</v>
      </c>
      <c r="H150" s="91" t="s">
        <v>179</v>
      </c>
    </row>
    <row r="151" spans="1:8" ht="18" customHeight="1">
      <c r="A151" s="91">
        <v>1</v>
      </c>
      <c r="B151" s="305" t="s">
        <v>180</v>
      </c>
      <c r="C151" s="305"/>
      <c r="D151" s="305"/>
      <c r="E151" s="91"/>
      <c r="F151" s="121"/>
      <c r="G151" s="142">
        <f>500000+100000+550000-150000</f>
        <v>1000000</v>
      </c>
      <c r="H151" s="142">
        <f>G151</f>
        <v>1000000</v>
      </c>
    </row>
    <row r="152" spans="1:8" ht="12.75" customHeight="1">
      <c r="A152" s="105"/>
      <c r="B152" s="296" t="s">
        <v>118</v>
      </c>
      <c r="C152" s="296"/>
      <c r="D152" s="296"/>
      <c r="E152" s="105" t="s">
        <v>119</v>
      </c>
      <c r="F152" s="137">
        <f>SUM(F151:F151)</f>
        <v>0</v>
      </c>
      <c r="G152" s="143">
        <f>G151</f>
        <v>1000000</v>
      </c>
      <c r="H152" s="143">
        <f>G152</f>
        <v>1000000</v>
      </c>
    </row>
    <row r="153" spans="1:8" ht="12.75" customHeight="1">
      <c r="A153" s="128"/>
      <c r="B153" s="128"/>
      <c r="C153" s="128"/>
      <c r="D153" s="128"/>
      <c r="E153" s="128"/>
      <c r="F153" s="128"/>
      <c r="G153" s="128"/>
      <c r="H153" s="128"/>
    </row>
    <row r="154" spans="1:8" ht="20.25" customHeight="1">
      <c r="A154" s="82" t="s">
        <v>181</v>
      </c>
      <c r="B154" s="109"/>
      <c r="C154" s="109"/>
      <c r="D154" s="109"/>
      <c r="E154" s="110"/>
      <c r="F154" s="127">
        <f>F152</f>
        <v>0</v>
      </c>
      <c r="G154" s="127">
        <f>G152</f>
        <v>1000000</v>
      </c>
      <c r="H154" s="127">
        <f>H152</f>
        <v>1000000</v>
      </c>
    </row>
    <row r="155" spans="1:8" ht="12.75" customHeight="1">
      <c r="A155" s="128"/>
      <c r="B155" s="128"/>
      <c r="C155" s="128"/>
      <c r="D155" s="128"/>
      <c r="E155" s="128"/>
      <c r="F155" s="128"/>
      <c r="G155" s="128"/>
      <c r="H155" s="128"/>
    </row>
    <row r="156" spans="1:8" ht="15.75" customHeight="1">
      <c r="A156" s="315" t="s">
        <v>182</v>
      </c>
      <c r="B156" s="315"/>
      <c r="C156" s="315"/>
      <c r="D156" s="315"/>
      <c r="E156" s="315"/>
      <c r="F156" s="315"/>
      <c r="G156" s="315"/>
      <c r="H156" s="315"/>
    </row>
    <row r="157" spans="1:6" ht="12" customHeight="1">
      <c r="A157" s="315"/>
      <c r="B157" s="315"/>
      <c r="C157" s="315"/>
      <c r="D157" s="315"/>
      <c r="E157" s="315"/>
      <c r="F157" s="315"/>
    </row>
    <row r="158" spans="1:8" ht="18.75">
      <c r="A158" s="315" t="s">
        <v>183</v>
      </c>
      <c r="B158" s="315"/>
      <c r="C158" s="315"/>
      <c r="D158" s="315"/>
      <c r="E158" s="315"/>
      <c r="F158" s="315"/>
      <c r="G158" s="315"/>
      <c r="H158" s="315"/>
    </row>
    <row r="159" spans="1:8" ht="9.75" customHeight="1">
      <c r="A159" s="109"/>
      <c r="B159" s="109"/>
      <c r="C159" s="109"/>
      <c r="D159" s="109"/>
      <c r="E159" s="109"/>
      <c r="F159" s="109"/>
      <c r="G159" s="109"/>
      <c r="H159" s="109"/>
    </row>
    <row r="160" spans="1:8" s="79" customFormat="1" ht="13.5" customHeight="1">
      <c r="A160" s="307" t="s">
        <v>184</v>
      </c>
      <c r="B160" s="307"/>
      <c r="C160" s="307"/>
      <c r="D160" s="307"/>
      <c r="E160" s="307"/>
      <c r="F160" s="307"/>
      <c r="G160" s="307"/>
      <c r="H160" s="307"/>
    </row>
    <row r="161" spans="1:8" s="79" customFormat="1" ht="24" customHeight="1">
      <c r="A161" s="301" t="s">
        <v>104</v>
      </c>
      <c r="B161" s="301" t="s">
        <v>161</v>
      </c>
      <c r="C161" s="301" t="s">
        <v>106</v>
      </c>
      <c r="D161" s="301"/>
      <c r="E161" s="301"/>
      <c r="F161" s="301"/>
      <c r="G161" s="301"/>
      <c r="H161" s="302" t="s">
        <v>107</v>
      </c>
    </row>
    <row r="162" spans="1:8" ht="51" customHeight="1">
      <c r="A162" s="301"/>
      <c r="B162" s="301"/>
      <c r="C162" s="301" t="s">
        <v>108</v>
      </c>
      <c r="D162" s="301"/>
      <c r="E162" s="301"/>
      <c r="F162" s="301"/>
      <c r="G162" s="85" t="s">
        <v>12</v>
      </c>
      <c r="H162" s="302"/>
    </row>
    <row r="163" spans="1:8" s="84" customFormat="1" ht="45">
      <c r="A163" s="301"/>
      <c r="B163" s="301"/>
      <c r="C163" s="87" t="s">
        <v>185</v>
      </c>
      <c r="D163" s="87" t="s">
        <v>186</v>
      </c>
      <c r="E163" s="87" t="s">
        <v>187</v>
      </c>
      <c r="F163" s="129" t="s">
        <v>112</v>
      </c>
      <c r="G163" s="100" t="s">
        <v>112</v>
      </c>
      <c r="H163" s="302"/>
    </row>
    <row r="164" spans="1:8" ht="15">
      <c r="A164" s="87">
        <v>1</v>
      </c>
      <c r="B164" s="86">
        <v>2</v>
      </c>
      <c r="C164" s="87">
        <v>3</v>
      </c>
      <c r="D164" s="87">
        <v>4</v>
      </c>
      <c r="E164" s="87">
        <v>5</v>
      </c>
      <c r="F164" s="88" t="s">
        <v>188</v>
      </c>
      <c r="G164" s="88">
        <v>7</v>
      </c>
      <c r="H164" s="88" t="s">
        <v>113</v>
      </c>
    </row>
    <row r="165" spans="1:8" ht="29.25" customHeight="1">
      <c r="A165" s="91" t="s">
        <v>165</v>
      </c>
      <c r="B165" s="144" t="s">
        <v>189</v>
      </c>
      <c r="C165" s="91">
        <v>10</v>
      </c>
      <c r="D165" s="91">
        <v>12</v>
      </c>
      <c r="E165" s="121">
        <f>F165/C165/D165</f>
        <v>0</v>
      </c>
      <c r="F165" s="121"/>
      <c r="G165" s="142">
        <v>0</v>
      </c>
      <c r="H165" s="142">
        <f>F165+G165</f>
        <v>0</v>
      </c>
    </row>
    <row r="166" spans="1:8" ht="16.5" customHeight="1">
      <c r="A166" s="91" t="s">
        <v>167</v>
      </c>
      <c r="B166" s="135" t="s">
        <v>190</v>
      </c>
      <c r="C166" s="91"/>
      <c r="D166" s="91"/>
      <c r="E166" s="121"/>
      <c r="F166" s="121"/>
      <c r="G166" s="142">
        <v>160000</v>
      </c>
      <c r="H166" s="142">
        <f>F166+G166</f>
        <v>160000</v>
      </c>
    </row>
    <row r="167" spans="1:8" ht="29.25" customHeight="1">
      <c r="A167" s="91" t="s">
        <v>169</v>
      </c>
      <c r="B167" s="145" t="s">
        <v>191</v>
      </c>
      <c r="C167" s="91"/>
      <c r="D167" s="91"/>
      <c r="E167" s="121"/>
      <c r="F167" s="121"/>
      <c r="G167" s="142">
        <v>100000</v>
      </c>
      <c r="H167" s="142">
        <f>F167+G167</f>
        <v>100000</v>
      </c>
    </row>
    <row r="168" spans="1:8" ht="29.25" customHeight="1">
      <c r="A168" s="91" t="s">
        <v>171</v>
      </c>
      <c r="B168" s="135" t="s">
        <v>192</v>
      </c>
      <c r="C168" s="91"/>
      <c r="D168" s="91"/>
      <c r="E168" s="121"/>
      <c r="F168" s="121"/>
      <c r="G168" s="142">
        <v>8300</v>
      </c>
      <c r="H168" s="142">
        <f>F168+G168</f>
        <v>8300</v>
      </c>
    </row>
    <row r="169" spans="1:8" ht="15" customHeight="1">
      <c r="A169" s="296" t="s">
        <v>118</v>
      </c>
      <c r="B169" s="296"/>
      <c r="C169" s="105">
        <f>SUM(C165:C165)</f>
        <v>10</v>
      </c>
      <c r="D169" s="105" t="s">
        <v>119</v>
      </c>
      <c r="E169" s="105" t="s">
        <v>119</v>
      </c>
      <c r="F169" s="137">
        <f>SUM(F165:F168)</f>
        <v>0</v>
      </c>
      <c r="G169" s="137">
        <f>SUM(G165:G168)</f>
        <v>268300</v>
      </c>
      <c r="H169" s="137">
        <f>SUM(H165:H168)</f>
        <v>268300</v>
      </c>
    </row>
    <row r="170" spans="1:6" ht="15.75">
      <c r="A170" s="138"/>
      <c r="B170" s="138"/>
      <c r="C170" s="113"/>
      <c r="D170" s="113"/>
      <c r="E170" s="113"/>
      <c r="F170" s="139"/>
    </row>
    <row r="171" spans="1:8" ht="18.75">
      <c r="A171" s="315" t="s">
        <v>193</v>
      </c>
      <c r="B171" s="315"/>
      <c r="C171" s="315"/>
      <c r="D171" s="315"/>
      <c r="E171" s="315"/>
      <c r="F171" s="315"/>
      <c r="G171" s="315"/>
      <c r="H171" s="315"/>
    </row>
    <row r="172" spans="1:8" s="79" customFormat="1" ht="18.75" customHeight="1">
      <c r="A172" s="307" t="s">
        <v>194</v>
      </c>
      <c r="B172" s="307"/>
      <c r="C172" s="307"/>
      <c r="D172" s="307"/>
      <c r="E172" s="307"/>
      <c r="F172" s="307"/>
      <c r="G172" s="307"/>
      <c r="H172" s="307"/>
    </row>
    <row r="173" spans="1:5" s="79" customFormat="1" ht="11.25" customHeight="1">
      <c r="A173" s="82"/>
      <c r="B173" s="82"/>
      <c r="C173" s="82"/>
      <c r="D173" s="82"/>
      <c r="E173" s="82"/>
    </row>
    <row r="174" spans="1:8" s="79" customFormat="1" ht="27.75" customHeight="1">
      <c r="A174" s="301" t="s">
        <v>104</v>
      </c>
      <c r="B174" s="301" t="s">
        <v>161</v>
      </c>
      <c r="C174" s="301"/>
      <c r="D174" s="301" t="s">
        <v>106</v>
      </c>
      <c r="E174" s="301"/>
      <c r="F174" s="301"/>
      <c r="G174" s="301"/>
      <c r="H174" s="302" t="s">
        <v>107</v>
      </c>
    </row>
    <row r="175" spans="1:8" ht="48">
      <c r="A175" s="301"/>
      <c r="B175" s="301"/>
      <c r="C175" s="301"/>
      <c r="D175" s="301" t="s">
        <v>108</v>
      </c>
      <c r="E175" s="301"/>
      <c r="F175" s="301"/>
      <c r="G175" s="85" t="s">
        <v>12</v>
      </c>
      <c r="H175" s="302"/>
    </row>
    <row r="176" spans="1:8" s="84" customFormat="1" ht="27.75" customHeight="1">
      <c r="A176" s="301"/>
      <c r="B176" s="301"/>
      <c r="C176" s="301"/>
      <c r="D176" s="86" t="s">
        <v>195</v>
      </c>
      <c r="E176" s="86" t="s">
        <v>196</v>
      </c>
      <c r="F176" s="87" t="s">
        <v>112</v>
      </c>
      <c r="G176" s="100" t="s">
        <v>112</v>
      </c>
      <c r="H176" s="302"/>
    </row>
    <row r="177" spans="1:8" ht="15.75">
      <c r="A177" s="91">
        <v>1</v>
      </c>
      <c r="B177" s="303">
        <v>2</v>
      </c>
      <c r="C177" s="303"/>
      <c r="D177" s="91">
        <v>3</v>
      </c>
      <c r="E177" s="91">
        <v>4</v>
      </c>
      <c r="F177" s="91" t="s">
        <v>124</v>
      </c>
      <c r="G177" s="91">
        <v>6</v>
      </c>
      <c r="H177" s="91" t="s">
        <v>125</v>
      </c>
    </row>
    <row r="178" spans="1:8" ht="29.25" customHeight="1">
      <c r="A178" s="91" t="s">
        <v>165</v>
      </c>
      <c r="B178" s="305" t="s">
        <v>197</v>
      </c>
      <c r="C178" s="305"/>
      <c r="D178" s="91">
        <v>4</v>
      </c>
      <c r="E178" s="121">
        <f>F178/D178</f>
        <v>0</v>
      </c>
      <c r="F178" s="121"/>
      <c r="G178" s="146">
        <v>0</v>
      </c>
      <c r="H178" s="146">
        <f>F178+G178</f>
        <v>0</v>
      </c>
    </row>
    <row r="179" spans="1:8" ht="32.25" customHeight="1">
      <c r="A179" s="91" t="s">
        <v>167</v>
      </c>
      <c r="B179" s="305" t="s">
        <v>198</v>
      </c>
      <c r="C179" s="305"/>
      <c r="D179" s="91"/>
      <c r="E179" s="121"/>
      <c r="F179" s="121"/>
      <c r="G179" s="146">
        <v>209000</v>
      </c>
      <c r="H179" s="146">
        <f>F179+G179</f>
        <v>209000</v>
      </c>
    </row>
    <row r="180" spans="1:8" ht="18" customHeight="1">
      <c r="A180" s="296" t="s">
        <v>118</v>
      </c>
      <c r="B180" s="296"/>
      <c r="C180" s="296"/>
      <c r="D180" s="105"/>
      <c r="E180" s="137"/>
      <c r="F180" s="137">
        <f>SUM(F178:F179)</f>
        <v>0</v>
      </c>
      <c r="G180" s="137">
        <f>SUM(G178:G179)</f>
        <v>209000</v>
      </c>
      <c r="H180" s="137">
        <f>SUM(H178:H179)</f>
        <v>209000</v>
      </c>
    </row>
    <row r="181" spans="1:8" ht="14.25" customHeight="1">
      <c r="A181" s="138"/>
      <c r="B181" s="138"/>
      <c r="C181" s="138"/>
      <c r="D181" s="113"/>
      <c r="E181" s="139"/>
      <c r="F181" s="139"/>
      <c r="G181" s="139"/>
      <c r="H181" s="139"/>
    </row>
    <row r="182" spans="1:8" ht="25.5" customHeight="1">
      <c r="A182" s="315" t="s">
        <v>199</v>
      </c>
      <c r="B182" s="315"/>
      <c r="C182" s="315"/>
      <c r="D182" s="315"/>
      <c r="E182" s="315"/>
      <c r="F182" s="315"/>
      <c r="G182" s="315"/>
      <c r="H182" s="315"/>
    </row>
    <row r="183" spans="1:8" s="79" customFormat="1" ht="18.75" customHeight="1">
      <c r="A183" s="307" t="s">
        <v>200</v>
      </c>
      <c r="B183" s="307"/>
      <c r="C183" s="307"/>
      <c r="D183" s="307"/>
      <c r="E183" s="307"/>
      <c r="F183" s="307"/>
      <c r="G183" s="307"/>
      <c r="H183" s="307"/>
    </row>
    <row r="184" spans="1:8" s="79" customFormat="1" ht="18.75" customHeight="1">
      <c r="A184" s="301" t="s">
        <v>104</v>
      </c>
      <c r="B184" s="301" t="s">
        <v>2</v>
      </c>
      <c r="C184" s="301" t="s">
        <v>106</v>
      </c>
      <c r="D184" s="301"/>
      <c r="E184" s="301"/>
      <c r="F184" s="301"/>
      <c r="G184" s="301"/>
      <c r="H184" s="302" t="s">
        <v>107</v>
      </c>
    </row>
    <row r="185" spans="1:8" ht="46.5" customHeight="1">
      <c r="A185" s="301"/>
      <c r="B185" s="301"/>
      <c r="C185" s="301" t="s">
        <v>108</v>
      </c>
      <c r="D185" s="301"/>
      <c r="E185" s="301"/>
      <c r="F185" s="301"/>
      <c r="G185" s="85" t="s">
        <v>12</v>
      </c>
      <c r="H185" s="302"/>
    </row>
    <row r="186" spans="1:8" s="84" customFormat="1" ht="39.75" customHeight="1">
      <c r="A186" s="301"/>
      <c r="B186" s="301"/>
      <c r="C186" s="86" t="s">
        <v>201</v>
      </c>
      <c r="D186" s="87" t="s">
        <v>202</v>
      </c>
      <c r="E186" s="87" t="s">
        <v>203</v>
      </c>
      <c r="F186" s="129" t="s">
        <v>112</v>
      </c>
      <c r="G186" s="100" t="s">
        <v>112</v>
      </c>
      <c r="H186" s="302"/>
    </row>
    <row r="187" spans="1:8" ht="15.75">
      <c r="A187" s="91">
        <v>1</v>
      </c>
      <c r="B187" s="91">
        <v>2</v>
      </c>
      <c r="C187" s="91">
        <v>3</v>
      </c>
      <c r="D187" s="91">
        <v>4</v>
      </c>
      <c r="E187" s="91">
        <v>5</v>
      </c>
      <c r="F187" s="147" t="s">
        <v>188</v>
      </c>
      <c r="G187" s="91">
        <v>7</v>
      </c>
      <c r="H187" s="147" t="s">
        <v>113</v>
      </c>
    </row>
    <row r="188" spans="1:8" ht="32.25" customHeight="1">
      <c r="A188" s="303">
        <v>1</v>
      </c>
      <c r="B188" s="148" t="s">
        <v>204</v>
      </c>
      <c r="C188" s="91">
        <v>13642.8</v>
      </c>
      <c r="D188" s="121">
        <v>79.53</v>
      </c>
      <c r="E188" s="91">
        <v>1</v>
      </c>
      <c r="F188" s="121">
        <f>C188*D188*E188</f>
        <v>1085011.8839999998</v>
      </c>
      <c r="G188" s="142">
        <v>0</v>
      </c>
      <c r="H188" s="142">
        <f>F188+G188</f>
        <v>1085011.8839999998</v>
      </c>
    </row>
    <row r="189" spans="1:8" ht="34.5" customHeight="1">
      <c r="A189" s="303"/>
      <c r="B189" s="149" t="s">
        <v>205</v>
      </c>
      <c r="C189" s="91">
        <v>13642.8</v>
      </c>
      <c r="D189" s="121">
        <v>82.7</v>
      </c>
      <c r="E189" s="91">
        <v>1</v>
      </c>
      <c r="F189" s="121">
        <f>C189*D189*E189-12.48</f>
        <v>1128247.08</v>
      </c>
      <c r="G189" s="142">
        <v>0</v>
      </c>
      <c r="H189" s="142">
        <f>F189+G189</f>
        <v>1128247.08</v>
      </c>
    </row>
    <row r="190" spans="1:8" ht="29.25" customHeight="1">
      <c r="A190" s="322">
        <v>2</v>
      </c>
      <c r="B190" s="150" t="s">
        <v>206</v>
      </c>
      <c r="C190" s="91">
        <f>C188/2</f>
        <v>6821.4</v>
      </c>
      <c r="D190" s="121">
        <v>31.18</v>
      </c>
      <c r="E190" s="91">
        <v>1</v>
      </c>
      <c r="F190" s="121">
        <f>C190*D190*E190</f>
        <v>212691.25199999998</v>
      </c>
      <c r="G190" s="142"/>
      <c r="H190" s="142">
        <f>F190+G190</f>
        <v>212691.25199999998</v>
      </c>
    </row>
    <row r="191" spans="1:8" ht="28.5" customHeight="1">
      <c r="A191" s="322"/>
      <c r="B191" s="150" t="s">
        <v>207</v>
      </c>
      <c r="C191" s="91">
        <f>C189/2</f>
        <v>6821.4</v>
      </c>
      <c r="D191" s="121">
        <v>32.42</v>
      </c>
      <c r="E191" s="91">
        <v>1</v>
      </c>
      <c r="F191" s="121">
        <f>C191*D191*E191</f>
        <v>221149.788</v>
      </c>
      <c r="G191" s="142"/>
      <c r="H191" s="142">
        <f>F191+G191</f>
        <v>221149.788</v>
      </c>
    </row>
    <row r="192" spans="1:8" ht="21" customHeight="1">
      <c r="A192" s="296" t="s">
        <v>118</v>
      </c>
      <c r="B192" s="296"/>
      <c r="C192" s="105" t="s">
        <v>119</v>
      </c>
      <c r="D192" s="105" t="s">
        <v>119</v>
      </c>
      <c r="E192" s="105" t="s">
        <v>119</v>
      </c>
      <c r="F192" s="137">
        <f>SUM(F188:F191)</f>
        <v>2647100.0039999997</v>
      </c>
      <c r="G192" s="137">
        <f>SUM(G188:G191)</f>
        <v>0</v>
      </c>
      <c r="H192" s="137">
        <f>SUM(H188:H191)</f>
        <v>2647100.0039999997</v>
      </c>
    </row>
    <row r="193" spans="1:6" ht="13.5" customHeight="1">
      <c r="A193" s="151"/>
      <c r="B193" s="152"/>
      <c r="C193" s="152"/>
      <c r="D193" s="152"/>
      <c r="E193" s="152"/>
      <c r="F193" s="153"/>
    </row>
    <row r="194" spans="1:8" ht="13.5" customHeight="1">
      <c r="A194" s="307" t="s">
        <v>208</v>
      </c>
      <c r="B194" s="307"/>
      <c r="C194" s="307"/>
      <c r="D194" s="307"/>
      <c r="E194" s="307"/>
      <c r="F194" s="307"/>
      <c r="G194" s="307"/>
      <c r="H194" s="307"/>
    </row>
    <row r="195" spans="1:8" ht="13.5" customHeight="1">
      <c r="A195" s="301" t="s">
        <v>104</v>
      </c>
      <c r="B195" s="301" t="s">
        <v>2</v>
      </c>
      <c r="C195" s="301" t="s">
        <v>106</v>
      </c>
      <c r="D195" s="301"/>
      <c r="E195" s="301"/>
      <c r="F195" s="301"/>
      <c r="G195" s="301"/>
      <c r="H195" s="302" t="s">
        <v>107</v>
      </c>
    </row>
    <row r="196" spans="1:8" ht="49.5" customHeight="1">
      <c r="A196" s="301"/>
      <c r="B196" s="301"/>
      <c r="C196" s="301" t="s">
        <v>108</v>
      </c>
      <c r="D196" s="301"/>
      <c r="E196" s="301"/>
      <c r="F196" s="301"/>
      <c r="G196" s="85" t="s">
        <v>12</v>
      </c>
      <c r="H196" s="302"/>
    </row>
    <row r="197" spans="1:8" ht="36.75" customHeight="1">
      <c r="A197" s="301"/>
      <c r="B197" s="301"/>
      <c r="C197" s="86" t="s">
        <v>201</v>
      </c>
      <c r="D197" s="87" t="s">
        <v>202</v>
      </c>
      <c r="E197" s="87" t="s">
        <v>203</v>
      </c>
      <c r="F197" s="129" t="s">
        <v>112</v>
      </c>
      <c r="G197" s="100" t="s">
        <v>112</v>
      </c>
      <c r="H197" s="302"/>
    </row>
    <row r="198" spans="1:8" ht="13.5" customHeight="1">
      <c r="A198" s="91">
        <v>1</v>
      </c>
      <c r="B198" s="91">
        <v>2</v>
      </c>
      <c r="C198" s="91">
        <v>3</v>
      </c>
      <c r="D198" s="91">
        <v>4</v>
      </c>
      <c r="E198" s="91">
        <v>5</v>
      </c>
      <c r="F198" s="147" t="s">
        <v>188</v>
      </c>
      <c r="G198" s="91">
        <v>7</v>
      </c>
      <c r="H198" s="147" t="s">
        <v>113</v>
      </c>
    </row>
    <row r="199" spans="1:8" ht="17.25" customHeight="1">
      <c r="A199" s="303">
        <v>2</v>
      </c>
      <c r="B199" s="154" t="s">
        <v>209</v>
      </c>
      <c r="C199" s="91">
        <v>210900</v>
      </c>
      <c r="D199" s="121">
        <v>8.43</v>
      </c>
      <c r="E199" s="91">
        <v>1</v>
      </c>
      <c r="F199" s="121">
        <f>C199*D199*E199</f>
        <v>1777887</v>
      </c>
      <c r="G199" s="142">
        <v>0</v>
      </c>
      <c r="H199" s="142">
        <f aca="true" t="shared" si="1" ref="H199:H206">F199+G199</f>
        <v>1777887</v>
      </c>
    </row>
    <row r="200" spans="1:8" ht="17.25" customHeight="1">
      <c r="A200" s="303"/>
      <c r="B200" s="154" t="s">
        <v>210</v>
      </c>
      <c r="C200" s="91">
        <v>210900</v>
      </c>
      <c r="D200" s="121">
        <v>8.43</v>
      </c>
      <c r="E200" s="91">
        <v>1</v>
      </c>
      <c r="F200" s="121">
        <f>C200*D200*E200+26-978312.54</f>
        <v>799600.46</v>
      </c>
      <c r="G200" s="142">
        <v>0</v>
      </c>
      <c r="H200" s="142">
        <f t="shared" si="1"/>
        <v>799600.46</v>
      </c>
    </row>
    <row r="201" spans="1:8" ht="22.5" customHeight="1">
      <c r="A201" s="303">
        <v>3</v>
      </c>
      <c r="B201" s="305" t="s">
        <v>211</v>
      </c>
      <c r="C201" s="155">
        <v>182.6</v>
      </c>
      <c r="D201" s="121">
        <v>4842.36</v>
      </c>
      <c r="E201" s="91">
        <v>1</v>
      </c>
      <c r="F201" s="121">
        <f>C201*D201*E201</f>
        <v>884214.9359999999</v>
      </c>
      <c r="G201" s="142">
        <v>0</v>
      </c>
      <c r="H201" s="142">
        <f t="shared" si="1"/>
        <v>884214.9359999999</v>
      </c>
    </row>
    <row r="202" spans="1:8" ht="21.75" customHeight="1">
      <c r="A202" s="303"/>
      <c r="B202" s="305"/>
      <c r="C202" s="156">
        <v>182.6</v>
      </c>
      <c r="D202" s="121">
        <v>2847.08</v>
      </c>
      <c r="E202" s="91">
        <v>1</v>
      </c>
      <c r="F202" s="121">
        <f>C202*D202*E202</f>
        <v>519876.80799999996</v>
      </c>
      <c r="G202" s="142">
        <v>0</v>
      </c>
      <c r="H202" s="142">
        <f t="shared" si="1"/>
        <v>519876.80799999996</v>
      </c>
    </row>
    <row r="203" spans="1:8" ht="28.5" customHeight="1">
      <c r="A203" s="303"/>
      <c r="B203" s="305" t="s">
        <v>212</v>
      </c>
      <c r="C203" s="155">
        <v>182.6</v>
      </c>
      <c r="D203" s="121">
        <v>5036.05</v>
      </c>
      <c r="E203" s="91">
        <v>1</v>
      </c>
      <c r="F203" s="121"/>
      <c r="G203" s="142">
        <v>0</v>
      </c>
      <c r="H203" s="142">
        <f t="shared" si="1"/>
        <v>0</v>
      </c>
    </row>
    <row r="204" spans="1:8" ht="21" customHeight="1">
      <c r="A204" s="303"/>
      <c r="B204" s="305"/>
      <c r="C204" s="156">
        <v>182.6</v>
      </c>
      <c r="D204" s="121">
        <v>2960.96</v>
      </c>
      <c r="E204" s="91">
        <v>1</v>
      </c>
      <c r="F204" s="121"/>
      <c r="G204" s="142">
        <v>0</v>
      </c>
      <c r="H204" s="142">
        <f t="shared" si="1"/>
        <v>0</v>
      </c>
    </row>
    <row r="205" spans="1:8" ht="30" customHeight="1">
      <c r="A205" s="303">
        <v>4</v>
      </c>
      <c r="B205" s="157" t="s">
        <v>213</v>
      </c>
      <c r="C205" s="158">
        <v>412.2</v>
      </c>
      <c r="D205" s="121">
        <v>4842.36</v>
      </c>
      <c r="E205" s="91">
        <v>1</v>
      </c>
      <c r="F205" s="121">
        <f>C205*D205*E205</f>
        <v>1996020.792</v>
      </c>
      <c r="G205" s="142">
        <v>0</v>
      </c>
      <c r="H205" s="142">
        <f t="shared" si="1"/>
        <v>1996020.792</v>
      </c>
    </row>
    <row r="206" spans="1:8" ht="31.5" customHeight="1">
      <c r="A206" s="303"/>
      <c r="B206" s="157" t="s">
        <v>214</v>
      </c>
      <c r="C206" s="158">
        <v>412.2</v>
      </c>
      <c r="D206" s="121">
        <v>5036.05</v>
      </c>
      <c r="E206" s="91">
        <v>1</v>
      </c>
      <c r="F206" s="121"/>
      <c r="G206" s="142">
        <v>0</v>
      </c>
      <c r="H206" s="142">
        <f t="shared" si="1"/>
        <v>0</v>
      </c>
    </row>
    <row r="207" spans="1:8" ht="13.5" customHeight="1">
      <c r="A207" s="296" t="s">
        <v>118</v>
      </c>
      <c r="B207" s="296"/>
      <c r="C207" s="105" t="s">
        <v>119</v>
      </c>
      <c r="D207" s="105" t="s">
        <v>119</v>
      </c>
      <c r="E207" s="105" t="s">
        <v>119</v>
      </c>
      <c r="F207" s="137">
        <f>SUM(F199:F206)</f>
        <v>5977599.995999999</v>
      </c>
      <c r="G207" s="137">
        <f>SUM(G199:G206)</f>
        <v>0</v>
      </c>
      <c r="H207" s="137">
        <f>SUM(H199:H206)</f>
        <v>5977599.995999999</v>
      </c>
    </row>
    <row r="208" spans="1:6" ht="13.5" customHeight="1">
      <c r="A208" s="151"/>
      <c r="B208" s="152"/>
      <c r="C208" s="152"/>
      <c r="D208" s="152"/>
      <c r="E208" s="152"/>
      <c r="F208" s="153"/>
    </row>
    <row r="209" spans="1:8" ht="18.75">
      <c r="A209" s="315" t="s">
        <v>215</v>
      </c>
      <c r="B209" s="315"/>
      <c r="C209" s="315"/>
      <c r="D209" s="315"/>
      <c r="E209" s="315"/>
      <c r="F209" s="315"/>
      <c r="G209" s="315"/>
      <c r="H209" s="315"/>
    </row>
    <row r="210" spans="1:8" ht="15.75">
      <c r="A210" s="317"/>
      <c r="B210" s="317"/>
      <c r="C210" s="317"/>
      <c r="D210" s="317"/>
      <c r="E210" s="317"/>
      <c r="F210" s="317"/>
      <c r="G210" s="317"/>
      <c r="H210" s="317"/>
    </row>
    <row r="211" spans="1:8" s="79" customFormat="1" ht="18.75" customHeight="1">
      <c r="A211" s="307" t="s">
        <v>216</v>
      </c>
      <c r="B211" s="307"/>
      <c r="C211" s="307"/>
      <c r="D211" s="307"/>
      <c r="E211" s="307"/>
      <c r="F211" s="307"/>
      <c r="G211" s="307"/>
      <c r="H211" s="307"/>
    </row>
    <row r="212" spans="1:8" ht="24" customHeight="1">
      <c r="A212" s="301" t="s">
        <v>104</v>
      </c>
      <c r="B212" s="302" t="s">
        <v>161</v>
      </c>
      <c r="C212" s="302"/>
      <c r="D212" s="301" t="s">
        <v>106</v>
      </c>
      <c r="E212" s="301"/>
      <c r="F212" s="301"/>
      <c r="G212" s="301"/>
      <c r="H212" s="302" t="s">
        <v>107</v>
      </c>
    </row>
    <row r="213" spans="1:8" ht="54.75" customHeight="1">
      <c r="A213" s="301"/>
      <c r="B213" s="302"/>
      <c r="C213" s="302"/>
      <c r="D213" s="301" t="s">
        <v>108</v>
      </c>
      <c r="E213" s="301"/>
      <c r="F213" s="301"/>
      <c r="G213" s="85" t="s">
        <v>12</v>
      </c>
      <c r="H213" s="302"/>
    </row>
    <row r="214" spans="1:8" s="84" customFormat="1" ht="30" customHeight="1">
      <c r="A214" s="301"/>
      <c r="B214" s="302"/>
      <c r="C214" s="302"/>
      <c r="D214" s="87" t="s">
        <v>217</v>
      </c>
      <c r="E214" s="87" t="s">
        <v>218</v>
      </c>
      <c r="F214" s="87" t="s">
        <v>112</v>
      </c>
      <c r="G214" s="100" t="s">
        <v>112</v>
      </c>
      <c r="H214" s="302"/>
    </row>
    <row r="215" spans="1:8" ht="15.75">
      <c r="A215" s="91">
        <v>1</v>
      </c>
      <c r="B215" s="303">
        <v>2</v>
      </c>
      <c r="C215" s="303"/>
      <c r="D215" s="91">
        <v>3</v>
      </c>
      <c r="E215" s="91">
        <v>4</v>
      </c>
      <c r="F215" s="91">
        <v>5</v>
      </c>
      <c r="G215" s="91">
        <v>6</v>
      </c>
      <c r="H215" s="91" t="s">
        <v>125</v>
      </c>
    </row>
    <row r="216" spans="1:8" ht="19.5" customHeight="1">
      <c r="A216" s="91">
        <v>1</v>
      </c>
      <c r="B216" s="318" t="s">
        <v>219</v>
      </c>
      <c r="C216" s="318"/>
      <c r="D216" s="159" t="s">
        <v>220</v>
      </c>
      <c r="E216" s="91">
        <v>12</v>
      </c>
      <c r="F216" s="121"/>
      <c r="G216" s="142">
        <f>342250-84400-59000</f>
        <v>198850</v>
      </c>
      <c r="H216" s="142">
        <f aca="true" t="shared" si="2" ref="H216:H229">F216+G216</f>
        <v>198850</v>
      </c>
    </row>
    <row r="217" spans="1:8" ht="15.75" customHeight="1">
      <c r="A217" s="91">
        <v>2</v>
      </c>
      <c r="B217" s="310" t="s">
        <v>221</v>
      </c>
      <c r="C217" s="310"/>
      <c r="D217" s="159" t="s">
        <v>220</v>
      </c>
      <c r="E217" s="91">
        <v>12</v>
      </c>
      <c r="F217" s="121"/>
      <c r="G217" s="142">
        <f>800000+600000-70000+84400+59000+57750-1100000</f>
        <v>431150</v>
      </c>
      <c r="H217" s="142">
        <f t="shared" si="2"/>
        <v>431150</v>
      </c>
    </row>
    <row r="218" spans="1:8" ht="33.75" customHeight="1">
      <c r="A218" s="91">
        <v>3</v>
      </c>
      <c r="B218" s="310" t="s">
        <v>222</v>
      </c>
      <c r="C218" s="310"/>
      <c r="D218" s="159" t="s">
        <v>220</v>
      </c>
      <c r="E218" s="91">
        <v>12</v>
      </c>
      <c r="F218" s="121"/>
      <c r="G218" s="142"/>
      <c r="H218" s="142">
        <f t="shared" si="2"/>
        <v>0</v>
      </c>
    </row>
    <row r="219" spans="1:8" ht="32.25" customHeight="1">
      <c r="A219" s="91">
        <v>4</v>
      </c>
      <c r="B219" s="318" t="s">
        <v>223</v>
      </c>
      <c r="C219" s="318"/>
      <c r="D219" s="159" t="s">
        <v>220</v>
      </c>
      <c r="E219" s="91">
        <v>12</v>
      </c>
      <c r="F219" s="121"/>
      <c r="G219" s="142">
        <f>208900+270000</f>
        <v>478900</v>
      </c>
      <c r="H219" s="142">
        <f t="shared" si="2"/>
        <v>478900</v>
      </c>
    </row>
    <row r="220" spans="1:8" ht="117" customHeight="1">
      <c r="A220" s="91">
        <v>5</v>
      </c>
      <c r="B220" s="320" t="s">
        <v>224</v>
      </c>
      <c r="C220" s="320"/>
      <c r="D220" s="159" t="s">
        <v>220</v>
      </c>
      <c r="E220" s="91">
        <v>12</v>
      </c>
      <c r="F220" s="121"/>
      <c r="G220" s="142">
        <f>420400+100000</f>
        <v>520400</v>
      </c>
      <c r="H220" s="142">
        <f t="shared" si="2"/>
        <v>520400</v>
      </c>
    </row>
    <row r="221" spans="1:8" ht="31.5" customHeight="1">
      <c r="A221" s="91">
        <v>6</v>
      </c>
      <c r="B221" s="320" t="s">
        <v>225</v>
      </c>
      <c r="C221" s="320"/>
      <c r="D221" s="159" t="s">
        <v>220</v>
      </c>
      <c r="E221" s="91">
        <v>12</v>
      </c>
      <c r="F221" s="160"/>
      <c r="G221" s="142">
        <f>800000-300000</f>
        <v>500000</v>
      </c>
      <c r="H221" s="142">
        <f t="shared" si="2"/>
        <v>500000</v>
      </c>
    </row>
    <row r="222" spans="1:8" ht="80.25" customHeight="1">
      <c r="A222" s="91">
        <v>7</v>
      </c>
      <c r="B222" s="321" t="s">
        <v>226</v>
      </c>
      <c r="C222" s="321"/>
      <c r="D222" s="161" t="s">
        <v>220</v>
      </c>
      <c r="E222" s="162">
        <v>12</v>
      </c>
      <c r="F222" s="163"/>
      <c r="G222" s="142">
        <v>150000</v>
      </c>
      <c r="H222" s="142">
        <f t="shared" si="2"/>
        <v>150000</v>
      </c>
    </row>
    <row r="223" spans="1:8" ht="17.25" customHeight="1">
      <c r="A223" s="91">
        <v>8</v>
      </c>
      <c r="B223" s="319" t="s">
        <v>227</v>
      </c>
      <c r="C223" s="319"/>
      <c r="D223" s="161" t="s">
        <v>220</v>
      </c>
      <c r="E223" s="162">
        <v>12</v>
      </c>
      <c r="F223" s="163"/>
      <c r="G223" s="142">
        <v>120000</v>
      </c>
      <c r="H223" s="142">
        <f t="shared" si="2"/>
        <v>120000</v>
      </c>
    </row>
    <row r="224" spans="1:8" ht="17.25" customHeight="1">
      <c r="A224" s="91">
        <v>9</v>
      </c>
      <c r="B224" s="319" t="s">
        <v>228</v>
      </c>
      <c r="C224" s="319"/>
      <c r="D224" s="161" t="s">
        <v>220</v>
      </c>
      <c r="E224" s="162">
        <v>12</v>
      </c>
      <c r="F224" s="163"/>
      <c r="G224" s="142">
        <v>2077000</v>
      </c>
      <c r="H224" s="142">
        <f t="shared" si="2"/>
        <v>2077000</v>
      </c>
    </row>
    <row r="225" spans="1:8" ht="44.25" customHeight="1">
      <c r="A225" s="91">
        <v>10</v>
      </c>
      <c r="B225" s="319" t="s">
        <v>229</v>
      </c>
      <c r="C225" s="319"/>
      <c r="D225" s="161" t="s">
        <v>220</v>
      </c>
      <c r="E225" s="162">
        <v>12</v>
      </c>
      <c r="F225" s="163"/>
      <c r="G225" s="142">
        <v>391100</v>
      </c>
      <c r="H225" s="142">
        <f t="shared" si="2"/>
        <v>391100</v>
      </c>
    </row>
    <row r="226" spans="1:8" ht="19.5" customHeight="1">
      <c r="A226" s="91">
        <v>11</v>
      </c>
      <c r="B226" s="319" t="s">
        <v>230</v>
      </c>
      <c r="C226" s="319"/>
      <c r="D226" s="161" t="s">
        <v>220</v>
      </c>
      <c r="E226" s="162">
        <v>12</v>
      </c>
      <c r="F226" s="163"/>
      <c r="G226" s="142">
        <v>30000</v>
      </c>
      <c r="H226" s="142">
        <f t="shared" si="2"/>
        <v>30000</v>
      </c>
    </row>
    <row r="227" spans="1:8" ht="91.5" customHeight="1">
      <c r="A227" s="91">
        <v>12</v>
      </c>
      <c r="B227" s="319" t="s">
        <v>231</v>
      </c>
      <c r="C227" s="319"/>
      <c r="D227" s="161" t="s">
        <v>220</v>
      </c>
      <c r="E227" s="162">
        <v>12</v>
      </c>
      <c r="F227" s="163"/>
      <c r="G227" s="142">
        <v>89000</v>
      </c>
      <c r="H227" s="142">
        <f t="shared" si="2"/>
        <v>89000</v>
      </c>
    </row>
    <row r="228" spans="1:8" ht="20.25" customHeight="1">
      <c r="A228" s="91">
        <v>13</v>
      </c>
      <c r="B228" s="319" t="s">
        <v>232</v>
      </c>
      <c r="C228" s="319"/>
      <c r="D228" s="161" t="s">
        <v>220</v>
      </c>
      <c r="E228" s="162">
        <v>12</v>
      </c>
      <c r="F228" s="163"/>
      <c r="G228" s="142">
        <v>50000</v>
      </c>
      <c r="H228" s="142">
        <f t="shared" si="2"/>
        <v>50000</v>
      </c>
    </row>
    <row r="229" spans="1:8" ht="16.5" customHeight="1">
      <c r="A229" s="91">
        <v>14</v>
      </c>
      <c r="B229" s="319" t="s">
        <v>233</v>
      </c>
      <c r="C229" s="319"/>
      <c r="D229" s="161" t="s">
        <v>220</v>
      </c>
      <c r="E229" s="162">
        <v>12</v>
      </c>
      <c r="F229" s="163"/>
      <c r="G229" s="142">
        <v>100000</v>
      </c>
      <c r="H229" s="142">
        <f t="shared" si="2"/>
        <v>100000</v>
      </c>
    </row>
    <row r="230" spans="1:8" ht="19.5" customHeight="1">
      <c r="A230" s="296" t="s">
        <v>118</v>
      </c>
      <c r="B230" s="296"/>
      <c r="C230" s="296"/>
      <c r="D230" s="105" t="s">
        <v>119</v>
      </c>
      <c r="E230" s="105" t="s">
        <v>119</v>
      </c>
      <c r="F230" s="137">
        <f>SUM(F216:F228)</f>
        <v>0</v>
      </c>
      <c r="G230" s="137">
        <f>SUM(G216:G229)</f>
        <v>5136400</v>
      </c>
      <c r="H230" s="137">
        <f>SUM(H216:H229)</f>
        <v>5136400</v>
      </c>
    </row>
    <row r="231" spans="1:6" ht="18" customHeight="1">
      <c r="A231" s="151"/>
      <c r="B231" s="152"/>
      <c r="C231" s="152"/>
      <c r="D231" s="152"/>
      <c r="E231" s="152"/>
      <c r="F231" s="153"/>
    </row>
    <row r="232" spans="1:8" ht="18.75">
      <c r="A232" s="315" t="s">
        <v>234</v>
      </c>
      <c r="B232" s="315"/>
      <c r="C232" s="315"/>
      <c r="D232" s="315"/>
      <c r="E232" s="315"/>
      <c r="F232" s="315"/>
      <c r="G232" s="315"/>
      <c r="H232" s="315"/>
    </row>
    <row r="233" spans="1:8" ht="10.5" customHeight="1">
      <c r="A233" s="317"/>
      <c r="B233" s="317"/>
      <c r="C233" s="317"/>
      <c r="D233" s="317"/>
      <c r="E233" s="317"/>
      <c r="F233" s="317"/>
      <c r="G233" s="317"/>
      <c r="H233" s="317"/>
    </row>
    <row r="234" spans="1:8" s="79" customFormat="1" ht="18.75" customHeight="1">
      <c r="A234" s="307" t="s">
        <v>235</v>
      </c>
      <c r="B234" s="307"/>
      <c r="C234" s="307"/>
      <c r="D234" s="307"/>
      <c r="E234" s="307"/>
      <c r="F234" s="307"/>
      <c r="G234" s="307"/>
      <c r="H234" s="307"/>
    </row>
    <row r="235" spans="1:8" ht="21.75" customHeight="1">
      <c r="A235" s="301" t="s">
        <v>104</v>
      </c>
      <c r="B235" s="302" t="s">
        <v>161</v>
      </c>
      <c r="C235" s="302"/>
      <c r="D235" s="302"/>
      <c r="E235" s="301" t="s">
        <v>106</v>
      </c>
      <c r="F235" s="301"/>
      <c r="G235" s="301"/>
      <c r="H235" s="302" t="s">
        <v>107</v>
      </c>
    </row>
    <row r="236" spans="1:8" ht="48">
      <c r="A236" s="301"/>
      <c r="B236" s="302"/>
      <c r="C236" s="302"/>
      <c r="D236" s="302"/>
      <c r="E236" s="301" t="s">
        <v>108</v>
      </c>
      <c r="F236" s="301"/>
      <c r="G236" s="85" t="s">
        <v>12</v>
      </c>
      <c r="H236" s="302"/>
    </row>
    <row r="237" spans="1:8" s="84" customFormat="1" ht="37.5" customHeight="1">
      <c r="A237" s="301"/>
      <c r="B237" s="302"/>
      <c r="C237" s="302"/>
      <c r="D237" s="302"/>
      <c r="E237" s="87" t="s">
        <v>178</v>
      </c>
      <c r="F237" s="87" t="s">
        <v>112</v>
      </c>
      <c r="G237" s="100" t="s">
        <v>112</v>
      </c>
      <c r="H237" s="302"/>
    </row>
    <row r="238" spans="1:8" ht="15.75">
      <c r="A238" s="91">
        <v>1</v>
      </c>
      <c r="B238" s="303">
        <v>2</v>
      </c>
      <c r="C238" s="303"/>
      <c r="D238" s="303"/>
      <c r="E238" s="91">
        <v>3</v>
      </c>
      <c r="F238" s="91">
        <v>4</v>
      </c>
      <c r="G238" s="91">
        <v>5</v>
      </c>
      <c r="H238" s="91" t="s">
        <v>179</v>
      </c>
    </row>
    <row r="239" spans="1:8" ht="30" customHeight="1">
      <c r="A239" s="91">
        <v>1</v>
      </c>
      <c r="B239" s="305" t="s">
        <v>236</v>
      </c>
      <c r="C239" s="305"/>
      <c r="D239" s="305"/>
      <c r="E239" s="91">
        <v>4</v>
      </c>
      <c r="F239" s="121"/>
      <c r="G239" s="142">
        <f>100000+100000+110000</f>
        <v>310000</v>
      </c>
      <c r="H239" s="142">
        <f aca="true" t="shared" si="3" ref="H239:H249">F239+G239</f>
        <v>310000</v>
      </c>
    </row>
    <row r="240" spans="1:8" ht="29.25" customHeight="1">
      <c r="A240" s="91">
        <v>2</v>
      </c>
      <c r="B240" s="305" t="s">
        <v>237</v>
      </c>
      <c r="C240" s="305"/>
      <c r="D240" s="305"/>
      <c r="E240" s="91">
        <v>3</v>
      </c>
      <c r="F240" s="121"/>
      <c r="G240" s="142">
        <f>200000-110000+190000</f>
        <v>280000</v>
      </c>
      <c r="H240" s="142">
        <f t="shared" si="3"/>
        <v>280000</v>
      </c>
    </row>
    <row r="241" spans="1:8" ht="18" customHeight="1">
      <c r="A241" s="91">
        <v>3</v>
      </c>
      <c r="B241" s="310" t="s">
        <v>238</v>
      </c>
      <c r="C241" s="310"/>
      <c r="D241" s="310"/>
      <c r="E241" s="91">
        <v>1</v>
      </c>
      <c r="F241" s="121"/>
      <c r="G241" s="142"/>
      <c r="H241" s="142">
        <f t="shared" si="3"/>
        <v>0</v>
      </c>
    </row>
    <row r="242" spans="1:8" ht="30" customHeight="1">
      <c r="A242" s="91">
        <v>4</v>
      </c>
      <c r="B242" s="318" t="s">
        <v>239</v>
      </c>
      <c r="C242" s="318"/>
      <c r="D242" s="318"/>
      <c r="E242" s="91">
        <v>2</v>
      </c>
      <c r="F242" s="121"/>
      <c r="G242" s="142"/>
      <c r="H242" s="142">
        <f t="shared" si="3"/>
        <v>0</v>
      </c>
    </row>
    <row r="243" spans="1:8" ht="18" customHeight="1">
      <c r="A243" s="91">
        <v>5</v>
      </c>
      <c r="B243" s="310" t="s">
        <v>240</v>
      </c>
      <c r="C243" s="310"/>
      <c r="D243" s="310"/>
      <c r="E243" s="91">
        <v>12</v>
      </c>
      <c r="F243" s="121"/>
      <c r="G243" s="142">
        <f>200000-100000+19680</f>
        <v>119680</v>
      </c>
      <c r="H243" s="142">
        <f t="shared" si="3"/>
        <v>119680</v>
      </c>
    </row>
    <row r="244" spans="1:8" ht="33" customHeight="1">
      <c r="A244" s="91">
        <v>6</v>
      </c>
      <c r="B244" s="310" t="s">
        <v>241</v>
      </c>
      <c r="C244" s="310"/>
      <c r="D244" s="310"/>
      <c r="E244" s="91">
        <v>9</v>
      </c>
      <c r="F244" s="121"/>
      <c r="G244" s="142">
        <f>200000+27500+600</f>
        <v>228100</v>
      </c>
      <c r="H244" s="142">
        <f t="shared" si="3"/>
        <v>228100</v>
      </c>
    </row>
    <row r="245" spans="1:8" ht="63" customHeight="1">
      <c r="A245" s="91">
        <v>7</v>
      </c>
      <c r="B245" s="310" t="s">
        <v>242</v>
      </c>
      <c r="C245" s="310"/>
      <c r="D245" s="310"/>
      <c r="E245" s="91">
        <v>4</v>
      </c>
      <c r="F245" s="121"/>
      <c r="G245" s="142">
        <v>129720</v>
      </c>
      <c r="H245" s="142">
        <f t="shared" si="3"/>
        <v>129720</v>
      </c>
    </row>
    <row r="246" spans="1:8" ht="18" customHeight="1">
      <c r="A246" s="91">
        <v>8</v>
      </c>
      <c r="B246" s="310" t="s">
        <v>243</v>
      </c>
      <c r="C246" s="310"/>
      <c r="D246" s="310"/>
      <c r="E246" s="91">
        <v>1</v>
      </c>
      <c r="F246" s="121"/>
      <c r="G246" s="142">
        <f>5628-5628</f>
        <v>0</v>
      </c>
      <c r="H246" s="142">
        <f t="shared" si="3"/>
        <v>0</v>
      </c>
    </row>
    <row r="247" spans="1:8" ht="30.75" customHeight="1">
      <c r="A247" s="91">
        <v>9</v>
      </c>
      <c r="B247" s="310" t="s">
        <v>244</v>
      </c>
      <c r="C247" s="310"/>
      <c r="D247" s="310"/>
      <c r="E247" s="91">
        <v>1</v>
      </c>
      <c r="F247" s="121"/>
      <c r="G247" s="142">
        <v>40000</v>
      </c>
      <c r="H247" s="142">
        <f t="shared" si="3"/>
        <v>40000</v>
      </c>
    </row>
    <row r="248" spans="1:8" ht="15.75" customHeight="1">
      <c r="A248" s="91">
        <v>10</v>
      </c>
      <c r="B248" s="310" t="s">
        <v>245</v>
      </c>
      <c r="C248" s="310"/>
      <c r="D248" s="310"/>
      <c r="E248" s="91">
        <v>1</v>
      </c>
      <c r="F248" s="121"/>
      <c r="G248" s="142">
        <f>15000+20000+15000</f>
        <v>50000</v>
      </c>
      <c r="H248" s="142">
        <f t="shared" si="3"/>
        <v>50000</v>
      </c>
    </row>
    <row r="249" spans="1:8" ht="18.75" customHeight="1">
      <c r="A249" s="91">
        <v>11</v>
      </c>
      <c r="B249" s="308" t="s">
        <v>246</v>
      </c>
      <c r="C249" s="308"/>
      <c r="D249" s="308"/>
      <c r="E249" s="91">
        <v>1</v>
      </c>
      <c r="F249" s="121"/>
      <c r="G249" s="142">
        <f>70000-20000-15000</f>
        <v>35000</v>
      </c>
      <c r="H249" s="142">
        <f t="shared" si="3"/>
        <v>35000</v>
      </c>
    </row>
    <row r="250" spans="1:8" ht="18" customHeight="1">
      <c r="A250" s="105"/>
      <c r="B250" s="296" t="s">
        <v>118</v>
      </c>
      <c r="C250" s="296"/>
      <c r="D250" s="296"/>
      <c r="E250" s="105" t="s">
        <v>119</v>
      </c>
      <c r="F250" s="137">
        <f>SUM(F239:F247)</f>
        <v>0</v>
      </c>
      <c r="G250" s="137">
        <f>SUM(G239:G249)</f>
        <v>1192500</v>
      </c>
      <c r="H250" s="137">
        <f>SUM(H239:H249)</f>
        <v>1192500</v>
      </c>
    </row>
    <row r="251" spans="1:6" ht="15.75">
      <c r="A251" s="151"/>
      <c r="B251" s="152"/>
      <c r="C251" s="152"/>
      <c r="D251" s="152"/>
      <c r="E251" s="152"/>
      <c r="F251" s="153"/>
    </row>
    <row r="252" spans="1:8" ht="18.75">
      <c r="A252" s="315" t="s">
        <v>247</v>
      </c>
      <c r="B252" s="315"/>
      <c r="C252" s="315"/>
      <c r="D252" s="315"/>
      <c r="E252" s="315"/>
      <c r="F252" s="315"/>
      <c r="G252" s="315"/>
      <c r="H252" s="315"/>
    </row>
    <row r="253" spans="1:6" ht="12" customHeight="1">
      <c r="A253" s="109"/>
      <c r="B253" s="128"/>
      <c r="C253" s="128"/>
      <c r="D253" s="128"/>
      <c r="E253" s="128"/>
      <c r="F253" s="128"/>
    </row>
    <row r="254" spans="1:8" s="79" customFormat="1" ht="18.75" customHeight="1">
      <c r="A254" s="307" t="s">
        <v>248</v>
      </c>
      <c r="B254" s="307"/>
      <c r="C254" s="307"/>
      <c r="D254" s="307"/>
      <c r="E254" s="307"/>
      <c r="F254" s="307"/>
      <c r="G254" s="307"/>
      <c r="H254" s="307"/>
    </row>
    <row r="255" spans="1:8" ht="24" customHeight="1">
      <c r="A255" s="301" t="s">
        <v>104</v>
      </c>
      <c r="B255" s="302" t="s">
        <v>161</v>
      </c>
      <c r="C255" s="302"/>
      <c r="D255" s="302"/>
      <c r="E255" s="301" t="s">
        <v>106</v>
      </c>
      <c r="F255" s="301"/>
      <c r="G255" s="301"/>
      <c r="H255" s="302" t="s">
        <v>107</v>
      </c>
    </row>
    <row r="256" spans="1:8" ht="48">
      <c r="A256" s="301"/>
      <c r="B256" s="302"/>
      <c r="C256" s="302"/>
      <c r="D256" s="302"/>
      <c r="E256" s="301" t="s">
        <v>108</v>
      </c>
      <c r="F256" s="301"/>
      <c r="G256" s="85" t="s">
        <v>12</v>
      </c>
      <c r="H256" s="302"/>
    </row>
    <row r="257" spans="1:8" ht="29.25" customHeight="1">
      <c r="A257" s="301"/>
      <c r="B257" s="302"/>
      <c r="C257" s="302"/>
      <c r="D257" s="302"/>
      <c r="E257" s="87" t="s">
        <v>178</v>
      </c>
      <c r="F257" s="87" t="s">
        <v>112</v>
      </c>
      <c r="G257" s="100" t="s">
        <v>112</v>
      </c>
      <c r="H257" s="302"/>
    </row>
    <row r="258" spans="1:8" ht="15.75">
      <c r="A258" s="91">
        <v>1</v>
      </c>
      <c r="B258" s="303">
        <v>2</v>
      </c>
      <c r="C258" s="303"/>
      <c r="D258" s="303"/>
      <c r="E258" s="91">
        <v>3</v>
      </c>
      <c r="F258" s="91">
        <v>4</v>
      </c>
      <c r="G258" s="91">
        <v>5</v>
      </c>
      <c r="H258" s="91" t="s">
        <v>179</v>
      </c>
    </row>
    <row r="259" spans="1:8" ht="30" customHeight="1">
      <c r="A259" s="91">
        <v>1</v>
      </c>
      <c r="B259" s="305" t="s">
        <v>249</v>
      </c>
      <c r="C259" s="305"/>
      <c r="D259" s="305"/>
      <c r="E259" s="91">
        <v>1</v>
      </c>
      <c r="F259" s="121"/>
      <c r="G259" s="142">
        <v>8000</v>
      </c>
      <c r="H259" s="142">
        <f>F259+G259</f>
        <v>8000</v>
      </c>
    </row>
    <row r="260" spans="1:8" ht="18.75" customHeight="1">
      <c r="A260" s="91">
        <v>2</v>
      </c>
      <c r="B260" s="305" t="s">
        <v>250</v>
      </c>
      <c r="C260" s="305"/>
      <c r="D260" s="305"/>
      <c r="E260" s="91">
        <v>1</v>
      </c>
      <c r="F260" s="121"/>
      <c r="G260" s="142">
        <v>89000</v>
      </c>
      <c r="H260" s="142">
        <f>F260+G260</f>
        <v>89000</v>
      </c>
    </row>
    <row r="261" spans="1:8" ht="18" customHeight="1">
      <c r="A261" s="105"/>
      <c r="B261" s="296" t="s">
        <v>118</v>
      </c>
      <c r="C261" s="296"/>
      <c r="D261" s="296"/>
      <c r="E261" s="105" t="s">
        <v>119</v>
      </c>
      <c r="F261" s="137">
        <f>SUM(F259:F260)</f>
        <v>0</v>
      </c>
      <c r="G261" s="137">
        <f>SUM(G259:G260)</f>
        <v>97000</v>
      </c>
      <c r="H261" s="137">
        <f>SUM(H259:H260)</f>
        <v>97000</v>
      </c>
    </row>
    <row r="262" spans="1:6" ht="15.75">
      <c r="A262" s="166"/>
      <c r="B262" s="167"/>
      <c r="C262" s="167"/>
      <c r="D262" s="167"/>
      <c r="E262" s="166"/>
      <c r="F262" s="168"/>
    </row>
    <row r="263" spans="1:8" ht="18.75">
      <c r="A263" s="315" t="s">
        <v>251</v>
      </c>
      <c r="B263" s="315"/>
      <c r="C263" s="315"/>
      <c r="D263" s="315"/>
      <c r="E263" s="315"/>
      <c r="F263" s="315"/>
      <c r="G263" s="315"/>
      <c r="H263" s="315"/>
    </row>
    <row r="264" spans="1:8" ht="14.25" customHeight="1">
      <c r="A264" s="317"/>
      <c r="B264" s="317"/>
      <c r="C264" s="317"/>
      <c r="D264" s="317"/>
      <c r="E264" s="317"/>
      <c r="F264" s="317"/>
      <c r="G264" s="317"/>
      <c r="H264" s="317"/>
    </row>
    <row r="265" spans="1:8" s="79" customFormat="1" ht="18.75" customHeight="1">
      <c r="A265" s="307" t="s">
        <v>252</v>
      </c>
      <c r="B265" s="307"/>
      <c r="C265" s="307"/>
      <c r="D265" s="307"/>
      <c r="E265" s="307"/>
      <c r="F265" s="307"/>
      <c r="G265" s="307"/>
      <c r="H265" s="307"/>
    </row>
    <row r="266" spans="1:8" ht="25.5" customHeight="1">
      <c r="A266" s="301" t="s">
        <v>104</v>
      </c>
      <c r="B266" s="302" t="s">
        <v>161</v>
      </c>
      <c r="C266" s="302"/>
      <c r="D266" s="301" t="s">
        <v>106</v>
      </c>
      <c r="E266" s="301"/>
      <c r="F266" s="301"/>
      <c r="G266" s="301"/>
      <c r="H266" s="302" t="s">
        <v>107</v>
      </c>
    </row>
    <row r="267" spans="1:8" ht="48">
      <c r="A267" s="301"/>
      <c r="B267" s="302"/>
      <c r="C267" s="302"/>
      <c r="D267" s="301" t="s">
        <v>108</v>
      </c>
      <c r="E267" s="301"/>
      <c r="F267" s="301"/>
      <c r="G267" s="85" t="s">
        <v>12</v>
      </c>
      <c r="H267" s="302"/>
    </row>
    <row r="268" spans="1:8" s="84" customFormat="1" ht="33.75" customHeight="1">
      <c r="A268" s="301"/>
      <c r="B268" s="302"/>
      <c r="C268" s="302"/>
      <c r="D268" s="87" t="s">
        <v>253</v>
      </c>
      <c r="E268" s="86" t="s">
        <v>254</v>
      </c>
      <c r="F268" s="87" t="s">
        <v>112</v>
      </c>
      <c r="G268" s="100" t="s">
        <v>112</v>
      </c>
      <c r="H268" s="302"/>
    </row>
    <row r="269" spans="1:8" ht="15.75">
      <c r="A269" s="91">
        <v>1</v>
      </c>
      <c r="B269" s="303">
        <v>2</v>
      </c>
      <c r="C269" s="303"/>
      <c r="D269" s="91">
        <v>3</v>
      </c>
      <c r="E269" s="91">
        <v>4</v>
      </c>
      <c r="F269" s="91" t="s">
        <v>124</v>
      </c>
      <c r="G269" s="91">
        <v>6</v>
      </c>
      <c r="H269" s="91" t="s">
        <v>125</v>
      </c>
    </row>
    <row r="270" spans="1:8" ht="18.75" customHeight="1">
      <c r="A270" s="91">
        <v>3</v>
      </c>
      <c r="B270" s="316" t="s">
        <v>255</v>
      </c>
      <c r="C270" s="316"/>
      <c r="D270" s="147"/>
      <c r="E270" s="121"/>
      <c r="F270" s="121"/>
      <c r="G270" s="142">
        <v>100000</v>
      </c>
      <c r="H270" s="121">
        <f>F270+G270</f>
        <v>100000</v>
      </c>
    </row>
    <row r="271" spans="1:8" ht="15.75" customHeight="1">
      <c r="A271" s="91">
        <v>6</v>
      </c>
      <c r="B271" s="316" t="s">
        <v>256</v>
      </c>
      <c r="C271" s="316"/>
      <c r="D271" s="121"/>
      <c r="E271" s="121"/>
      <c r="F271" s="121"/>
      <c r="G271" s="142">
        <v>125000</v>
      </c>
      <c r="H271" s="121">
        <f>F271+G271</f>
        <v>125000</v>
      </c>
    </row>
    <row r="272" spans="1:8" ht="15" customHeight="1">
      <c r="A272" s="91">
        <v>7</v>
      </c>
      <c r="B272" s="316" t="s">
        <v>257</v>
      </c>
      <c r="C272" s="316"/>
      <c r="D272" s="121"/>
      <c r="E272" s="121"/>
      <c r="F272" s="121"/>
      <c r="G272" s="142">
        <v>100000</v>
      </c>
      <c r="H272" s="121">
        <f>F272+G272</f>
        <v>100000</v>
      </c>
    </row>
    <row r="273" spans="1:8" ht="16.5" customHeight="1">
      <c r="A273" s="91">
        <v>8</v>
      </c>
      <c r="B273" s="316" t="s">
        <v>258</v>
      </c>
      <c r="C273" s="316"/>
      <c r="D273" s="121"/>
      <c r="E273" s="121"/>
      <c r="F273" s="121"/>
      <c r="G273" s="142">
        <v>675000</v>
      </c>
      <c r="H273" s="121">
        <f>F273+G273</f>
        <v>675000</v>
      </c>
    </row>
    <row r="274" spans="1:8" ht="15.75" customHeight="1">
      <c r="A274" s="105"/>
      <c r="B274" s="296" t="s">
        <v>118</v>
      </c>
      <c r="C274" s="296"/>
      <c r="D274" s="296"/>
      <c r="E274" s="105" t="s">
        <v>119</v>
      </c>
      <c r="F274" s="137">
        <f>SUM(F270:F273)</f>
        <v>0</v>
      </c>
      <c r="G274" s="137">
        <f>SUM(G270:G273)</f>
        <v>1000000</v>
      </c>
      <c r="H274" s="137">
        <f>SUM(H270:H273)</f>
        <v>1000000</v>
      </c>
    </row>
    <row r="275" spans="1:6" ht="16.5" customHeight="1">
      <c r="A275" s="166"/>
      <c r="B275" s="169"/>
      <c r="C275" s="169"/>
      <c r="D275" s="168"/>
      <c r="E275" s="168"/>
      <c r="F275" s="168"/>
    </row>
    <row r="276" spans="1:8" ht="18.75">
      <c r="A276" s="315" t="s">
        <v>259</v>
      </c>
      <c r="B276" s="315"/>
      <c r="C276" s="315"/>
      <c r="D276" s="315"/>
      <c r="E276" s="315"/>
      <c r="F276" s="315"/>
      <c r="G276" s="315"/>
      <c r="H276" s="315"/>
    </row>
    <row r="277" spans="1:8" s="79" customFormat="1" ht="18.75" customHeight="1">
      <c r="A277" s="300" t="s">
        <v>260</v>
      </c>
      <c r="B277" s="300"/>
      <c r="C277" s="300"/>
      <c r="D277" s="300"/>
      <c r="E277" s="300"/>
      <c r="F277" s="300"/>
      <c r="G277" s="300"/>
      <c r="H277" s="300"/>
    </row>
    <row r="278" spans="1:8" ht="20.25" customHeight="1">
      <c r="A278" s="301" t="s">
        <v>104</v>
      </c>
      <c r="B278" s="302" t="s">
        <v>161</v>
      </c>
      <c r="C278" s="302"/>
      <c r="D278" s="301" t="s">
        <v>106</v>
      </c>
      <c r="E278" s="301"/>
      <c r="F278" s="301"/>
      <c r="G278" s="301"/>
      <c r="H278" s="302" t="s">
        <v>107</v>
      </c>
    </row>
    <row r="279" spans="1:8" ht="52.5" customHeight="1">
      <c r="A279" s="301"/>
      <c r="B279" s="302"/>
      <c r="C279" s="302"/>
      <c r="D279" s="301" t="s">
        <v>108</v>
      </c>
      <c r="E279" s="301"/>
      <c r="F279" s="301"/>
      <c r="G279" s="85" t="s">
        <v>12</v>
      </c>
      <c r="H279" s="302"/>
    </row>
    <row r="280" spans="1:8" s="84" customFormat="1" ht="30.75" customHeight="1">
      <c r="A280" s="301"/>
      <c r="B280" s="302"/>
      <c r="C280" s="302"/>
      <c r="D280" s="87" t="s">
        <v>253</v>
      </c>
      <c r="E280" s="86" t="s">
        <v>254</v>
      </c>
      <c r="F280" s="87" t="s">
        <v>112</v>
      </c>
      <c r="G280" s="100" t="s">
        <v>112</v>
      </c>
      <c r="H280" s="302"/>
    </row>
    <row r="281" spans="1:8" ht="15.75">
      <c r="A281" s="91">
        <v>1</v>
      </c>
      <c r="B281" s="303">
        <v>2</v>
      </c>
      <c r="C281" s="303"/>
      <c r="D281" s="91">
        <v>3</v>
      </c>
      <c r="E281" s="91">
        <v>4</v>
      </c>
      <c r="F281" s="91" t="s">
        <v>124</v>
      </c>
      <c r="G281" s="91">
        <v>6</v>
      </c>
      <c r="H281" s="91" t="s">
        <v>125</v>
      </c>
    </row>
    <row r="282" spans="1:8" ht="28.5" customHeight="1">
      <c r="A282" s="170" t="s">
        <v>261</v>
      </c>
      <c r="B282" s="304" t="s">
        <v>62</v>
      </c>
      <c r="C282" s="304"/>
      <c r="D282" s="304"/>
      <c r="E282" s="304"/>
      <c r="F282" s="105" t="s">
        <v>119</v>
      </c>
      <c r="G282" s="143" t="s">
        <v>16</v>
      </c>
      <c r="H282" s="143" t="s">
        <v>16</v>
      </c>
    </row>
    <row r="283" spans="1:8" ht="18.75" customHeight="1">
      <c r="A283" s="91">
        <v>1</v>
      </c>
      <c r="B283" s="305" t="s">
        <v>262</v>
      </c>
      <c r="C283" s="305"/>
      <c r="D283" s="121">
        <v>1500</v>
      </c>
      <c r="E283" s="121">
        <f>F283/D283</f>
        <v>0</v>
      </c>
      <c r="F283" s="121"/>
      <c r="G283" s="142">
        <v>1325000</v>
      </c>
      <c r="H283" s="142">
        <f>F283+G283</f>
        <v>1325000</v>
      </c>
    </row>
    <row r="284" spans="1:8" ht="50.25" customHeight="1">
      <c r="A284" s="91">
        <v>2</v>
      </c>
      <c r="B284" s="308" t="s">
        <v>263</v>
      </c>
      <c r="C284" s="308"/>
      <c r="D284" s="121"/>
      <c r="E284" s="121"/>
      <c r="F284" s="121">
        <f>D284*E284</f>
        <v>0</v>
      </c>
      <c r="G284" s="142"/>
      <c r="H284" s="142">
        <f>F284+G284</f>
        <v>0</v>
      </c>
    </row>
    <row r="285" spans="1:8" ht="16.5" customHeight="1">
      <c r="A285" s="91">
        <v>3</v>
      </c>
      <c r="B285" s="308" t="s">
        <v>264</v>
      </c>
      <c r="C285" s="308"/>
      <c r="D285" s="121"/>
      <c r="E285" s="121"/>
      <c r="F285" s="121">
        <f>D285*E285</f>
        <v>0</v>
      </c>
      <c r="G285" s="142">
        <f>100000-100000</f>
        <v>0</v>
      </c>
      <c r="H285" s="142">
        <f>F285+G285</f>
        <v>0</v>
      </c>
    </row>
    <row r="286" spans="1:8" ht="18" customHeight="1">
      <c r="A286" s="105"/>
      <c r="B286" s="296" t="s">
        <v>118</v>
      </c>
      <c r="C286" s="296"/>
      <c r="D286" s="296"/>
      <c r="E286" s="105" t="s">
        <v>119</v>
      </c>
      <c r="F286" s="137">
        <f>SUM(F283:F285)</f>
        <v>0</v>
      </c>
      <c r="G286" s="137">
        <f>SUM(G283:G285)</f>
        <v>1325000</v>
      </c>
      <c r="H286" s="137">
        <f>SUM(H283:H285)</f>
        <v>1325000</v>
      </c>
    </row>
    <row r="287" spans="1:6" ht="12" customHeight="1">
      <c r="A287" s="166"/>
      <c r="B287" s="169"/>
      <c r="C287" s="169"/>
      <c r="D287" s="168"/>
      <c r="E287" s="168"/>
      <c r="F287" s="168"/>
    </row>
    <row r="288" spans="1:8" s="79" customFormat="1" ht="17.25" customHeight="1">
      <c r="A288" s="307" t="s">
        <v>265</v>
      </c>
      <c r="B288" s="307"/>
      <c r="C288" s="307"/>
      <c r="D288" s="307"/>
      <c r="E288" s="307"/>
      <c r="F288" s="307"/>
      <c r="G288" s="307"/>
      <c r="H288" s="307"/>
    </row>
    <row r="289" spans="1:8" ht="12.75" customHeight="1">
      <c r="A289" s="301" t="s">
        <v>104</v>
      </c>
      <c r="B289" s="302" t="s">
        <v>161</v>
      </c>
      <c r="C289" s="302"/>
      <c r="D289" s="301" t="s">
        <v>106</v>
      </c>
      <c r="E289" s="301"/>
      <c r="F289" s="301"/>
      <c r="G289" s="301"/>
      <c r="H289" s="302" t="s">
        <v>107</v>
      </c>
    </row>
    <row r="290" spans="1:8" ht="48">
      <c r="A290" s="301"/>
      <c r="B290" s="302"/>
      <c r="C290" s="302"/>
      <c r="D290" s="301" t="s">
        <v>108</v>
      </c>
      <c r="E290" s="301"/>
      <c r="F290" s="301"/>
      <c r="G290" s="85" t="s">
        <v>12</v>
      </c>
      <c r="H290" s="302"/>
    </row>
    <row r="291" spans="1:8" s="84" customFormat="1" ht="27.75" customHeight="1">
      <c r="A291" s="301"/>
      <c r="B291" s="302"/>
      <c r="C291" s="302"/>
      <c r="D291" s="87" t="s">
        <v>253</v>
      </c>
      <c r="E291" s="86" t="s">
        <v>254</v>
      </c>
      <c r="F291" s="87" t="s">
        <v>112</v>
      </c>
      <c r="G291" s="100" t="s">
        <v>112</v>
      </c>
      <c r="H291" s="302"/>
    </row>
    <row r="292" spans="1:8" ht="15.75">
      <c r="A292" s="91">
        <v>1</v>
      </c>
      <c r="B292" s="303">
        <v>2</v>
      </c>
      <c r="C292" s="303"/>
      <c r="D292" s="91">
        <v>3</v>
      </c>
      <c r="E292" s="91">
        <v>4</v>
      </c>
      <c r="F292" s="91" t="s">
        <v>124</v>
      </c>
      <c r="G292" s="91">
        <v>6</v>
      </c>
      <c r="H292" s="91" t="s">
        <v>125</v>
      </c>
    </row>
    <row r="293" spans="1:8" ht="12" customHeight="1">
      <c r="A293" s="170" t="s">
        <v>266</v>
      </c>
      <c r="B293" s="304" t="s">
        <v>63</v>
      </c>
      <c r="C293" s="304"/>
      <c r="D293" s="304"/>
      <c r="E293" s="304"/>
      <c r="F293" s="105" t="s">
        <v>119</v>
      </c>
      <c r="G293" s="143" t="s">
        <v>16</v>
      </c>
      <c r="H293" s="143" t="s">
        <v>16</v>
      </c>
    </row>
    <row r="294" spans="1:8" ht="31.5" customHeight="1">
      <c r="A294" s="171">
        <v>1</v>
      </c>
      <c r="B294" s="313" t="s">
        <v>267</v>
      </c>
      <c r="C294" s="313"/>
      <c r="D294" s="164" t="s">
        <v>34</v>
      </c>
      <c r="E294" s="164" t="s">
        <v>381</v>
      </c>
      <c r="F294" s="164"/>
      <c r="G294" s="165">
        <v>14862000</v>
      </c>
      <c r="H294" s="165">
        <f>F294+G294</f>
        <v>14862000</v>
      </c>
    </row>
    <row r="295" spans="1:8" ht="18" customHeight="1">
      <c r="A295" s="105"/>
      <c r="B295" s="296" t="s">
        <v>118</v>
      </c>
      <c r="C295" s="296"/>
      <c r="D295" s="296"/>
      <c r="E295" s="105" t="s">
        <v>119</v>
      </c>
      <c r="F295" s="137">
        <f>SUM(F294)</f>
        <v>0</v>
      </c>
      <c r="G295" s="137">
        <f>SUM(G294)</f>
        <v>14862000</v>
      </c>
      <c r="H295" s="137">
        <f>SUM(H294)</f>
        <v>14862000</v>
      </c>
    </row>
    <row r="296" spans="1:8" ht="14.25" customHeight="1">
      <c r="A296" s="314" t="s">
        <v>402</v>
      </c>
      <c r="B296" s="314"/>
      <c r="C296" s="314"/>
      <c r="D296" s="314"/>
      <c r="E296" s="314"/>
      <c r="F296" s="314"/>
      <c r="G296" s="314"/>
      <c r="H296" s="314"/>
    </row>
    <row r="297" spans="1:6" ht="18" customHeight="1" hidden="1">
      <c r="A297" s="166"/>
      <c r="B297" s="113"/>
      <c r="C297" s="113"/>
      <c r="D297" s="168"/>
      <c r="E297" s="139"/>
      <c r="F297" s="139"/>
    </row>
    <row r="298" spans="1:6" ht="18" customHeight="1">
      <c r="A298" s="166"/>
      <c r="B298" s="113"/>
      <c r="C298" s="113"/>
      <c r="D298" s="168"/>
      <c r="E298" s="139"/>
      <c r="F298" s="139"/>
    </row>
    <row r="299" spans="1:8" s="79" customFormat="1" ht="18" customHeight="1">
      <c r="A299" s="307" t="s">
        <v>268</v>
      </c>
      <c r="B299" s="307"/>
      <c r="C299" s="307"/>
      <c r="D299" s="307"/>
      <c r="E299" s="307"/>
      <c r="F299" s="307"/>
      <c r="G299" s="307"/>
      <c r="H299" s="307"/>
    </row>
    <row r="300" spans="1:8" ht="14.25" customHeight="1">
      <c r="A300" s="301" t="s">
        <v>104</v>
      </c>
      <c r="B300" s="302" t="s">
        <v>161</v>
      </c>
      <c r="C300" s="302"/>
      <c r="D300" s="301" t="s">
        <v>106</v>
      </c>
      <c r="E300" s="301"/>
      <c r="F300" s="301"/>
      <c r="G300" s="301"/>
      <c r="H300" s="302" t="s">
        <v>107</v>
      </c>
    </row>
    <row r="301" spans="1:8" ht="48">
      <c r="A301" s="301"/>
      <c r="B301" s="302"/>
      <c r="C301" s="302"/>
      <c r="D301" s="301" t="s">
        <v>108</v>
      </c>
      <c r="E301" s="301"/>
      <c r="F301" s="301"/>
      <c r="G301" s="85" t="s">
        <v>12</v>
      </c>
      <c r="H301" s="302"/>
    </row>
    <row r="302" spans="1:8" s="84" customFormat="1" ht="29.25" customHeight="1">
      <c r="A302" s="301"/>
      <c r="B302" s="302"/>
      <c r="C302" s="302"/>
      <c r="D302" s="87" t="s">
        <v>253</v>
      </c>
      <c r="E302" s="86" t="s">
        <v>254</v>
      </c>
      <c r="F302" s="87" t="s">
        <v>112</v>
      </c>
      <c r="G302" s="100" t="s">
        <v>112</v>
      </c>
      <c r="H302" s="302"/>
    </row>
    <row r="303" spans="1:8" ht="15.75">
      <c r="A303" s="91">
        <v>1</v>
      </c>
      <c r="B303" s="303">
        <v>2</v>
      </c>
      <c r="C303" s="303"/>
      <c r="D303" s="91">
        <v>3</v>
      </c>
      <c r="E303" s="91">
        <v>4</v>
      </c>
      <c r="F303" s="91" t="s">
        <v>124</v>
      </c>
      <c r="G303" s="91">
        <v>6</v>
      </c>
      <c r="H303" s="91" t="s">
        <v>125</v>
      </c>
    </row>
    <row r="304" spans="1:8" ht="14.25" customHeight="1">
      <c r="A304" s="170" t="s">
        <v>269</v>
      </c>
      <c r="B304" s="304" t="s">
        <v>64</v>
      </c>
      <c r="C304" s="304"/>
      <c r="D304" s="304"/>
      <c r="E304" s="304"/>
      <c r="F304" s="105" t="s">
        <v>119</v>
      </c>
      <c r="G304" s="143" t="s">
        <v>16</v>
      </c>
      <c r="H304" s="143" t="s">
        <v>16</v>
      </c>
    </row>
    <row r="305" spans="1:8" ht="19.5" customHeight="1">
      <c r="A305" s="91">
        <v>1</v>
      </c>
      <c r="B305" s="305" t="s">
        <v>270</v>
      </c>
      <c r="C305" s="305"/>
      <c r="D305" s="121"/>
      <c r="E305" s="121"/>
      <c r="F305" s="121"/>
      <c r="G305" s="142">
        <f>105000+150000-155000+1000+300000-1000</f>
        <v>400000</v>
      </c>
      <c r="H305" s="142">
        <f>F305+G305</f>
        <v>400000</v>
      </c>
    </row>
    <row r="306" spans="1:8" ht="18" customHeight="1">
      <c r="A306" s="105"/>
      <c r="B306" s="296" t="s">
        <v>118</v>
      </c>
      <c r="C306" s="296"/>
      <c r="D306" s="296"/>
      <c r="E306" s="105" t="s">
        <v>119</v>
      </c>
      <c r="F306" s="137">
        <f>SUM(F305)</f>
        <v>0</v>
      </c>
      <c r="G306" s="137">
        <f>SUM(G305)</f>
        <v>400000</v>
      </c>
      <c r="H306" s="137">
        <f>SUM(H305)</f>
        <v>400000</v>
      </c>
    </row>
    <row r="307" spans="1:8" ht="15.75" customHeight="1">
      <c r="A307" s="113"/>
      <c r="B307" s="138"/>
      <c r="C307" s="138"/>
      <c r="D307" s="138"/>
      <c r="E307" s="113"/>
      <c r="F307" s="139"/>
      <c r="G307" s="139"/>
      <c r="H307" s="139"/>
    </row>
    <row r="308" spans="1:8" s="79" customFormat="1" ht="18.75" customHeight="1">
      <c r="A308" s="307" t="s">
        <v>271</v>
      </c>
      <c r="B308" s="307"/>
      <c r="C308" s="307"/>
      <c r="D308" s="307"/>
      <c r="E308" s="307"/>
      <c r="F308" s="307"/>
      <c r="G308" s="307"/>
      <c r="H308" s="307"/>
    </row>
    <row r="309" spans="1:8" ht="16.5" customHeight="1">
      <c r="A309" s="301" t="s">
        <v>104</v>
      </c>
      <c r="B309" s="302" t="s">
        <v>161</v>
      </c>
      <c r="C309" s="302"/>
      <c r="D309" s="301" t="s">
        <v>106</v>
      </c>
      <c r="E309" s="301"/>
      <c r="F309" s="301"/>
      <c r="G309" s="301"/>
      <c r="H309" s="302" t="s">
        <v>107</v>
      </c>
    </row>
    <row r="310" spans="1:8" ht="48">
      <c r="A310" s="301"/>
      <c r="B310" s="302"/>
      <c r="C310" s="302"/>
      <c r="D310" s="301" t="s">
        <v>108</v>
      </c>
      <c r="E310" s="301"/>
      <c r="F310" s="301"/>
      <c r="G310" s="85" t="s">
        <v>12</v>
      </c>
      <c r="H310" s="302"/>
    </row>
    <row r="311" spans="1:8" s="84" customFormat="1" ht="27" customHeight="1">
      <c r="A311" s="301"/>
      <c r="B311" s="302"/>
      <c r="C311" s="302"/>
      <c r="D311" s="87" t="s">
        <v>253</v>
      </c>
      <c r="E311" s="86" t="s">
        <v>254</v>
      </c>
      <c r="F311" s="87" t="s">
        <v>112</v>
      </c>
      <c r="G311" s="100" t="s">
        <v>112</v>
      </c>
      <c r="H311" s="302"/>
    </row>
    <row r="312" spans="1:8" ht="15.75">
      <c r="A312" s="91">
        <v>1</v>
      </c>
      <c r="B312" s="303">
        <v>2</v>
      </c>
      <c r="C312" s="303"/>
      <c r="D312" s="91">
        <v>3</v>
      </c>
      <c r="E312" s="91">
        <v>4</v>
      </c>
      <c r="F312" s="91" t="s">
        <v>124</v>
      </c>
      <c r="G312" s="91">
        <v>6</v>
      </c>
      <c r="H312" s="91" t="s">
        <v>125</v>
      </c>
    </row>
    <row r="313" spans="1:8" ht="14.25" customHeight="1">
      <c r="A313" s="170" t="s">
        <v>272</v>
      </c>
      <c r="B313" s="304" t="s">
        <v>65</v>
      </c>
      <c r="C313" s="304"/>
      <c r="D313" s="304"/>
      <c r="E313" s="304"/>
      <c r="F313" s="105" t="s">
        <v>119</v>
      </c>
      <c r="G313" s="143" t="s">
        <v>16</v>
      </c>
      <c r="H313" s="143" t="s">
        <v>16</v>
      </c>
    </row>
    <row r="314" spans="1:8" ht="27" customHeight="1">
      <c r="A314" s="91">
        <v>1</v>
      </c>
      <c r="B314" s="305" t="s">
        <v>273</v>
      </c>
      <c r="C314" s="305"/>
      <c r="D314" s="121"/>
      <c r="E314" s="121"/>
      <c r="F314" s="121">
        <v>0</v>
      </c>
      <c r="G314" s="142">
        <v>575000</v>
      </c>
      <c r="H314" s="142">
        <f>F314+G314</f>
        <v>575000</v>
      </c>
    </row>
    <row r="315" spans="1:8" ht="18" customHeight="1">
      <c r="A315" s="105"/>
      <c r="B315" s="296" t="s">
        <v>118</v>
      </c>
      <c r="C315" s="296"/>
      <c r="D315" s="296"/>
      <c r="E315" s="105" t="s">
        <v>119</v>
      </c>
      <c r="F315" s="137">
        <f>SUM(F314)</f>
        <v>0</v>
      </c>
      <c r="G315" s="137">
        <f>SUM(G314)</f>
        <v>575000</v>
      </c>
      <c r="H315" s="137">
        <f>SUM(H314)</f>
        <v>575000</v>
      </c>
    </row>
    <row r="316" spans="1:6" ht="13.5" customHeight="1">
      <c r="A316" s="166"/>
      <c r="B316" s="113"/>
      <c r="C316" s="113"/>
      <c r="D316" s="168"/>
      <c r="E316" s="139"/>
      <c r="F316" s="139"/>
    </row>
    <row r="317" spans="1:8" s="79" customFormat="1" ht="18.75" customHeight="1">
      <c r="A317" s="307" t="s">
        <v>274</v>
      </c>
      <c r="B317" s="307"/>
      <c r="C317" s="307"/>
      <c r="D317" s="307"/>
      <c r="E317" s="307"/>
      <c r="F317" s="307"/>
      <c r="G317" s="307"/>
      <c r="H317" s="307"/>
    </row>
    <row r="318" spans="1:8" ht="15.75" customHeight="1">
      <c r="A318" s="301" t="s">
        <v>104</v>
      </c>
      <c r="B318" s="302" t="s">
        <v>161</v>
      </c>
      <c r="C318" s="302"/>
      <c r="D318" s="301" t="s">
        <v>106</v>
      </c>
      <c r="E318" s="301"/>
      <c r="F318" s="301"/>
      <c r="G318" s="301"/>
      <c r="H318" s="302" t="s">
        <v>107</v>
      </c>
    </row>
    <row r="319" spans="1:8" ht="50.25" customHeight="1">
      <c r="A319" s="301"/>
      <c r="B319" s="302"/>
      <c r="C319" s="302"/>
      <c r="D319" s="301" t="s">
        <v>108</v>
      </c>
      <c r="E319" s="301"/>
      <c r="F319" s="301"/>
      <c r="G319" s="132" t="s">
        <v>12</v>
      </c>
      <c r="H319" s="302"/>
    </row>
    <row r="320" spans="1:8" s="84" customFormat="1" ht="28.5" customHeight="1">
      <c r="A320" s="301"/>
      <c r="B320" s="302"/>
      <c r="C320" s="302"/>
      <c r="D320" s="87" t="s">
        <v>253</v>
      </c>
      <c r="E320" s="86" t="s">
        <v>254</v>
      </c>
      <c r="F320" s="87" t="s">
        <v>112</v>
      </c>
      <c r="G320" s="100" t="s">
        <v>112</v>
      </c>
      <c r="H320" s="302"/>
    </row>
    <row r="321" spans="1:8" ht="15.75">
      <c r="A321" s="91">
        <v>1</v>
      </c>
      <c r="B321" s="303">
        <v>2</v>
      </c>
      <c r="C321" s="303"/>
      <c r="D321" s="91">
        <v>3</v>
      </c>
      <c r="E321" s="91">
        <v>4</v>
      </c>
      <c r="F321" s="91" t="s">
        <v>124</v>
      </c>
      <c r="G321" s="91">
        <v>6</v>
      </c>
      <c r="H321" s="91" t="s">
        <v>125</v>
      </c>
    </row>
    <row r="322" spans="1:8" s="173" customFormat="1" ht="15.75" customHeight="1">
      <c r="A322" s="172" t="s">
        <v>275</v>
      </c>
      <c r="B322" s="304" t="s">
        <v>66</v>
      </c>
      <c r="C322" s="304"/>
      <c r="D322" s="304"/>
      <c r="E322" s="304"/>
      <c r="F322" s="105" t="s">
        <v>119</v>
      </c>
      <c r="G322" s="143" t="s">
        <v>16</v>
      </c>
      <c r="H322" s="143" t="s">
        <v>16</v>
      </c>
    </row>
    <row r="323" spans="1:8" ht="24.75" customHeight="1">
      <c r="A323" s="91">
        <v>1</v>
      </c>
      <c r="B323" s="308" t="s">
        <v>276</v>
      </c>
      <c r="C323" s="308"/>
      <c r="D323" s="121">
        <v>69350</v>
      </c>
      <c r="E323" s="121">
        <f>F323/D323</f>
        <v>0</v>
      </c>
      <c r="F323" s="121"/>
      <c r="G323" s="142">
        <f>2000000-550000-1000000</f>
        <v>450000</v>
      </c>
      <c r="H323" s="142">
        <f>F323+G323</f>
        <v>450000</v>
      </c>
    </row>
    <row r="324" spans="1:8" ht="31.5" customHeight="1">
      <c r="A324" s="91">
        <v>2</v>
      </c>
      <c r="B324" s="312" t="s">
        <v>277</v>
      </c>
      <c r="C324" s="312"/>
      <c r="D324" s="121"/>
      <c r="E324" s="121"/>
      <c r="F324" s="121"/>
      <c r="G324" s="174">
        <f>242400+50000-150000</f>
        <v>142400</v>
      </c>
      <c r="H324" s="142">
        <f>F324+G324</f>
        <v>142400</v>
      </c>
    </row>
    <row r="325" spans="1:8" ht="42.75" customHeight="1">
      <c r="A325" s="91">
        <v>3</v>
      </c>
      <c r="B325" s="312" t="s">
        <v>278</v>
      </c>
      <c r="C325" s="312"/>
      <c r="D325" s="121">
        <v>2</v>
      </c>
      <c r="E325" s="121">
        <f>F325/D325</f>
        <v>0</v>
      </c>
      <c r="F325" s="121"/>
      <c r="G325" s="174">
        <f>83300-25000-56060+60</f>
        <v>2300</v>
      </c>
      <c r="H325" s="142">
        <f>F325+G325</f>
        <v>2300</v>
      </c>
    </row>
    <row r="326" spans="1:8" ht="30.75" customHeight="1">
      <c r="A326" s="91">
        <v>4</v>
      </c>
      <c r="B326" s="312" t="s">
        <v>279</v>
      </c>
      <c r="C326" s="312"/>
      <c r="D326" s="121">
        <v>350</v>
      </c>
      <c r="E326" s="121">
        <f>F326/D326</f>
        <v>0</v>
      </c>
      <c r="F326" s="121"/>
      <c r="G326" s="174"/>
      <c r="H326" s="142">
        <f>F326+G326</f>
        <v>0</v>
      </c>
    </row>
    <row r="327" spans="1:8" ht="15.75" customHeight="1">
      <c r="A327" s="91">
        <v>5</v>
      </c>
      <c r="B327" s="311" t="s">
        <v>280</v>
      </c>
      <c r="C327" s="311"/>
      <c r="D327" s="121"/>
      <c r="E327" s="121"/>
      <c r="F327" s="121">
        <v>0</v>
      </c>
      <c r="G327" s="174">
        <v>400000</v>
      </c>
      <c r="H327" s="142">
        <f>F327+G327</f>
        <v>400000</v>
      </c>
    </row>
    <row r="328" spans="1:8" ht="18" customHeight="1">
      <c r="A328" s="105"/>
      <c r="B328" s="296" t="s">
        <v>118</v>
      </c>
      <c r="C328" s="296"/>
      <c r="D328" s="296"/>
      <c r="E328" s="105" t="s">
        <v>119</v>
      </c>
      <c r="F328" s="137">
        <f>SUM(F323:F327)</f>
        <v>0</v>
      </c>
      <c r="G328" s="137">
        <f>SUM(G323:G327)</f>
        <v>994700</v>
      </c>
      <c r="H328" s="137">
        <f>SUM(H323:H327)</f>
        <v>994700</v>
      </c>
    </row>
    <row r="329" spans="1:6" ht="17.25" customHeight="1">
      <c r="A329" s="166"/>
      <c r="B329" s="113"/>
      <c r="C329" s="113"/>
      <c r="D329" s="168"/>
      <c r="E329" s="139"/>
      <c r="F329" s="139"/>
    </row>
    <row r="330" spans="1:8" s="79" customFormat="1" ht="16.5" customHeight="1">
      <c r="A330" s="307" t="s">
        <v>281</v>
      </c>
      <c r="B330" s="307"/>
      <c r="C330" s="307"/>
      <c r="D330" s="307"/>
      <c r="E330" s="307"/>
      <c r="F330" s="307"/>
      <c r="G330" s="307"/>
      <c r="H330" s="307"/>
    </row>
    <row r="331" spans="1:8" ht="15" customHeight="1">
      <c r="A331" s="301" t="s">
        <v>104</v>
      </c>
      <c r="B331" s="302" t="s">
        <v>161</v>
      </c>
      <c r="C331" s="302"/>
      <c r="D331" s="301" t="s">
        <v>106</v>
      </c>
      <c r="E331" s="301"/>
      <c r="F331" s="301"/>
      <c r="G331" s="301"/>
      <c r="H331" s="302" t="s">
        <v>107</v>
      </c>
    </row>
    <row r="332" spans="1:8" ht="48">
      <c r="A332" s="301"/>
      <c r="B332" s="302"/>
      <c r="C332" s="302"/>
      <c r="D332" s="301" t="s">
        <v>108</v>
      </c>
      <c r="E332" s="301"/>
      <c r="F332" s="301"/>
      <c r="G332" s="85" t="s">
        <v>12</v>
      </c>
      <c r="H332" s="302"/>
    </row>
    <row r="333" spans="1:8" s="84" customFormat="1" ht="28.5" customHeight="1">
      <c r="A333" s="301"/>
      <c r="B333" s="302"/>
      <c r="C333" s="302"/>
      <c r="D333" s="87" t="s">
        <v>253</v>
      </c>
      <c r="E333" s="86" t="s">
        <v>254</v>
      </c>
      <c r="F333" s="87" t="s">
        <v>112</v>
      </c>
      <c r="G333" s="100" t="s">
        <v>112</v>
      </c>
      <c r="H333" s="302"/>
    </row>
    <row r="334" spans="1:8" ht="15.75">
      <c r="A334" s="91">
        <v>1</v>
      </c>
      <c r="B334" s="303">
        <v>2</v>
      </c>
      <c r="C334" s="303"/>
      <c r="D334" s="91">
        <v>3</v>
      </c>
      <c r="E334" s="91">
        <v>4</v>
      </c>
      <c r="F334" s="91" t="s">
        <v>124</v>
      </c>
      <c r="G334" s="91">
        <v>6</v>
      </c>
      <c r="H334" s="91" t="s">
        <v>125</v>
      </c>
    </row>
    <row r="335" spans="1:8" s="173" customFormat="1" ht="21.75" customHeight="1">
      <c r="A335" s="170" t="s">
        <v>282</v>
      </c>
      <c r="B335" s="304" t="s">
        <v>67</v>
      </c>
      <c r="C335" s="304"/>
      <c r="D335" s="304"/>
      <c r="E335" s="304"/>
      <c r="F335" s="105" t="s">
        <v>119</v>
      </c>
      <c r="G335" s="105" t="s">
        <v>119</v>
      </c>
      <c r="H335" s="105" t="s">
        <v>119</v>
      </c>
    </row>
    <row r="336" spans="1:8" ht="29.25" customHeight="1">
      <c r="A336" s="91">
        <v>1</v>
      </c>
      <c r="B336" s="305" t="s">
        <v>283</v>
      </c>
      <c r="C336" s="305"/>
      <c r="D336" s="121">
        <v>10000</v>
      </c>
      <c r="E336" s="121">
        <f aca="true" t="shared" si="4" ref="E336:E341">F336/D336</f>
        <v>0</v>
      </c>
      <c r="F336" s="121"/>
      <c r="G336" s="142">
        <v>0</v>
      </c>
      <c r="H336" s="142">
        <f aca="true" t="shared" si="5" ref="H336:H344">F336+G336</f>
        <v>0</v>
      </c>
    </row>
    <row r="337" spans="1:8" ht="36.75" customHeight="1">
      <c r="A337" s="91">
        <v>2</v>
      </c>
      <c r="B337" s="309" t="s">
        <v>284</v>
      </c>
      <c r="C337" s="309"/>
      <c r="D337" s="121">
        <v>2000</v>
      </c>
      <c r="E337" s="121">
        <f t="shared" si="4"/>
        <v>0</v>
      </c>
      <c r="F337" s="121"/>
      <c r="G337" s="142">
        <v>300000</v>
      </c>
      <c r="H337" s="142">
        <f t="shared" si="5"/>
        <v>300000</v>
      </c>
    </row>
    <row r="338" spans="1:8" ht="34.5" customHeight="1">
      <c r="A338" s="91">
        <v>3</v>
      </c>
      <c r="B338" s="310" t="s">
        <v>285</v>
      </c>
      <c r="C338" s="310"/>
      <c r="D338" s="121">
        <v>1000</v>
      </c>
      <c r="E338" s="121">
        <f t="shared" si="4"/>
        <v>0</v>
      </c>
      <c r="F338" s="121"/>
      <c r="G338" s="142">
        <v>800000</v>
      </c>
      <c r="H338" s="142">
        <f t="shared" si="5"/>
        <v>800000</v>
      </c>
    </row>
    <row r="339" spans="1:8" ht="18.75" customHeight="1">
      <c r="A339" s="91">
        <v>4</v>
      </c>
      <c r="B339" s="310" t="s">
        <v>286</v>
      </c>
      <c r="C339" s="310"/>
      <c r="D339" s="121">
        <v>1000</v>
      </c>
      <c r="E339" s="121">
        <f t="shared" si="4"/>
        <v>0</v>
      </c>
      <c r="F339" s="121"/>
      <c r="G339" s="142">
        <f>10500-10500</f>
        <v>0</v>
      </c>
      <c r="H339" s="142">
        <f t="shared" si="5"/>
        <v>0</v>
      </c>
    </row>
    <row r="340" spans="1:8" ht="21.75" customHeight="1">
      <c r="A340" s="91">
        <v>5</v>
      </c>
      <c r="B340" s="308" t="s">
        <v>287</v>
      </c>
      <c r="C340" s="308"/>
      <c r="D340" s="121">
        <f>200-200+120</f>
        <v>120</v>
      </c>
      <c r="E340" s="121">
        <f t="shared" si="4"/>
        <v>0</v>
      </c>
      <c r="F340" s="121"/>
      <c r="G340" s="142">
        <f>5000-5000</f>
        <v>0</v>
      </c>
      <c r="H340" s="142">
        <f t="shared" si="5"/>
        <v>0</v>
      </c>
    </row>
    <row r="341" spans="1:8" ht="15.75" customHeight="1">
      <c r="A341" s="91">
        <v>6</v>
      </c>
      <c r="B341" s="308" t="s">
        <v>288</v>
      </c>
      <c r="C341" s="308"/>
      <c r="D341" s="121">
        <v>1000</v>
      </c>
      <c r="E341" s="121">
        <f t="shared" si="4"/>
        <v>0</v>
      </c>
      <c r="F341" s="121"/>
      <c r="G341" s="142">
        <v>150000</v>
      </c>
      <c r="H341" s="142">
        <f t="shared" si="5"/>
        <v>150000</v>
      </c>
    </row>
    <row r="342" spans="1:8" ht="15.75" customHeight="1">
      <c r="A342" s="91">
        <v>7</v>
      </c>
      <c r="B342" s="308" t="s">
        <v>289</v>
      </c>
      <c r="C342" s="308"/>
      <c r="D342" s="121"/>
      <c r="E342" s="121"/>
      <c r="F342" s="121"/>
      <c r="G342" s="142">
        <f>100000-70000</f>
        <v>30000</v>
      </c>
      <c r="H342" s="142">
        <f t="shared" si="5"/>
        <v>30000</v>
      </c>
    </row>
    <row r="343" spans="1:8" ht="28.5" customHeight="1">
      <c r="A343" s="91">
        <v>8</v>
      </c>
      <c r="B343" s="308" t="s">
        <v>290</v>
      </c>
      <c r="C343" s="308"/>
      <c r="D343" s="121"/>
      <c r="E343" s="121"/>
      <c r="F343" s="121"/>
      <c r="G343" s="142">
        <f>50000+70000+50000</f>
        <v>170000</v>
      </c>
      <c r="H343" s="142">
        <f t="shared" si="5"/>
        <v>170000</v>
      </c>
    </row>
    <row r="344" spans="1:8" ht="23.25" customHeight="1">
      <c r="A344" s="91">
        <v>9</v>
      </c>
      <c r="B344" s="308" t="s">
        <v>291</v>
      </c>
      <c r="C344" s="308"/>
      <c r="D344" s="121"/>
      <c r="E344" s="121"/>
      <c r="F344" s="121"/>
      <c r="G344" s="142">
        <v>5000</v>
      </c>
      <c r="H344" s="142">
        <f t="shared" si="5"/>
        <v>5000</v>
      </c>
    </row>
    <row r="345" spans="1:8" ht="18" customHeight="1">
      <c r="A345" s="105"/>
      <c r="B345" s="304" t="s">
        <v>118</v>
      </c>
      <c r="C345" s="304"/>
      <c r="D345" s="105"/>
      <c r="E345" s="137" t="s">
        <v>119</v>
      </c>
      <c r="F345" s="137">
        <f>SUM(F336:F344)</f>
        <v>0</v>
      </c>
      <c r="G345" s="137">
        <f>SUM(G336:G344)</f>
        <v>1455000</v>
      </c>
      <c r="H345" s="137">
        <f>SUM(H336:H344)</f>
        <v>1455000</v>
      </c>
    </row>
    <row r="346" spans="1:6" ht="47.25" customHeight="1">
      <c r="A346" s="113"/>
      <c r="B346" s="113"/>
      <c r="C346" s="113"/>
      <c r="D346" s="113"/>
      <c r="E346" s="139"/>
      <c r="F346" s="139"/>
    </row>
    <row r="347" spans="1:8" ht="18" customHeight="1">
      <c r="A347" s="307" t="s">
        <v>292</v>
      </c>
      <c r="B347" s="307"/>
      <c r="C347" s="307"/>
      <c r="D347" s="307"/>
      <c r="E347" s="307"/>
      <c r="F347" s="307"/>
      <c r="G347" s="307"/>
      <c r="H347" s="307"/>
    </row>
    <row r="348" spans="1:8" ht="18" customHeight="1">
      <c r="A348" s="301" t="s">
        <v>104</v>
      </c>
      <c r="B348" s="302" t="s">
        <v>161</v>
      </c>
      <c r="C348" s="302"/>
      <c r="D348" s="301" t="s">
        <v>106</v>
      </c>
      <c r="E348" s="301"/>
      <c r="F348" s="301"/>
      <c r="G348" s="301"/>
      <c r="H348" s="302" t="s">
        <v>107</v>
      </c>
    </row>
    <row r="349" spans="1:8" ht="50.25" customHeight="1">
      <c r="A349" s="301"/>
      <c r="B349" s="302"/>
      <c r="C349" s="302"/>
      <c r="D349" s="301" t="s">
        <v>108</v>
      </c>
      <c r="E349" s="301"/>
      <c r="F349" s="301"/>
      <c r="G349" s="85" t="s">
        <v>12</v>
      </c>
      <c r="H349" s="302"/>
    </row>
    <row r="350" spans="1:8" ht="24" customHeight="1">
      <c r="A350" s="301"/>
      <c r="B350" s="302"/>
      <c r="C350" s="302"/>
      <c r="D350" s="87" t="s">
        <v>253</v>
      </c>
      <c r="E350" s="86" t="s">
        <v>254</v>
      </c>
      <c r="F350" s="87" t="s">
        <v>112</v>
      </c>
      <c r="G350" s="100" t="s">
        <v>112</v>
      </c>
      <c r="H350" s="302"/>
    </row>
    <row r="351" spans="1:8" ht="18" customHeight="1">
      <c r="A351" s="91">
        <v>1</v>
      </c>
      <c r="B351" s="303">
        <v>2</v>
      </c>
      <c r="C351" s="303"/>
      <c r="D351" s="91">
        <v>3</v>
      </c>
      <c r="E351" s="91">
        <v>4</v>
      </c>
      <c r="F351" s="91" t="s">
        <v>124</v>
      </c>
      <c r="G351" s="91">
        <v>6</v>
      </c>
      <c r="H351" s="91" t="s">
        <v>125</v>
      </c>
    </row>
    <row r="352" spans="1:8" ht="27" customHeight="1">
      <c r="A352" s="170" t="s">
        <v>293</v>
      </c>
      <c r="B352" s="304" t="s">
        <v>68</v>
      </c>
      <c r="C352" s="304"/>
      <c r="D352" s="304"/>
      <c r="E352" s="304"/>
      <c r="F352" s="105" t="s">
        <v>119</v>
      </c>
      <c r="G352" s="143" t="s">
        <v>16</v>
      </c>
      <c r="H352" s="143" t="s">
        <v>16</v>
      </c>
    </row>
    <row r="353" spans="1:8" ht="30" customHeight="1">
      <c r="A353" s="91">
        <v>1</v>
      </c>
      <c r="B353" s="305" t="s">
        <v>294</v>
      </c>
      <c r="C353" s="305"/>
      <c r="D353" s="121"/>
      <c r="E353" s="121"/>
      <c r="F353" s="121">
        <v>0</v>
      </c>
      <c r="G353" s="142">
        <v>10000</v>
      </c>
      <c r="H353" s="142">
        <f>F353+G353</f>
        <v>10000</v>
      </c>
    </row>
    <row r="354" spans="1:8" ht="18" customHeight="1">
      <c r="A354" s="105"/>
      <c r="B354" s="296" t="s">
        <v>118</v>
      </c>
      <c r="C354" s="296"/>
      <c r="D354" s="296"/>
      <c r="E354" s="105" t="s">
        <v>119</v>
      </c>
      <c r="F354" s="137">
        <f>SUM(F353)</f>
        <v>0</v>
      </c>
      <c r="G354" s="137">
        <f>SUM(G353)</f>
        <v>10000</v>
      </c>
      <c r="H354" s="137">
        <f>SUM(H353)</f>
        <v>10000</v>
      </c>
    </row>
    <row r="355" spans="1:8" ht="9" customHeight="1">
      <c r="A355" s="166"/>
      <c r="B355" s="166"/>
      <c r="C355" s="166"/>
      <c r="D355" s="166"/>
      <c r="E355" s="166"/>
      <c r="F355" s="166"/>
      <c r="G355" s="166"/>
      <c r="H355" s="166"/>
    </row>
    <row r="356" spans="1:8" s="175" customFormat="1" ht="20.25" customHeight="1">
      <c r="A356" s="91"/>
      <c r="B356" s="303" t="s">
        <v>295</v>
      </c>
      <c r="C356" s="303"/>
      <c r="D356" s="121" t="s">
        <v>119</v>
      </c>
      <c r="E356" s="121" t="s">
        <v>119</v>
      </c>
      <c r="F356" s="121">
        <f>F286+F295+F306+F315+F328+F345+F354</f>
        <v>0</v>
      </c>
      <c r="G356" s="121">
        <f>G286+G295+G306+G315+G328+G345+G354</f>
        <v>19621700</v>
      </c>
      <c r="H356" s="121">
        <f>H286+H295+H306+H315+H328+H345+H354</f>
        <v>19621700</v>
      </c>
    </row>
    <row r="357" spans="1:6" ht="12.75" customHeight="1">
      <c r="A357" s="113"/>
      <c r="B357" s="176"/>
      <c r="C357" s="176"/>
      <c r="D357" s="113"/>
      <c r="E357" s="139"/>
      <c r="F357" s="139"/>
    </row>
    <row r="358" spans="1:8" ht="18" customHeight="1">
      <c r="A358" s="306" t="s">
        <v>296</v>
      </c>
      <c r="B358" s="306"/>
      <c r="C358" s="306"/>
      <c r="D358" s="306"/>
      <c r="E358" s="306"/>
      <c r="F358" s="306"/>
      <c r="G358" s="306"/>
      <c r="H358" s="306"/>
    </row>
    <row r="359" spans="1:6" ht="9" customHeight="1">
      <c r="A359" s="166"/>
      <c r="B359" s="169"/>
      <c r="C359" s="169"/>
      <c r="D359" s="168"/>
      <c r="E359" s="168"/>
      <c r="F359" s="168"/>
    </row>
    <row r="360" spans="1:8" ht="18" customHeight="1">
      <c r="A360" s="300" t="s">
        <v>297</v>
      </c>
      <c r="B360" s="300"/>
      <c r="C360" s="300"/>
      <c r="D360" s="300"/>
      <c r="E360" s="300"/>
      <c r="F360" s="300"/>
      <c r="G360" s="300"/>
      <c r="H360" s="300"/>
    </row>
    <row r="361" spans="1:8" ht="18" customHeight="1">
      <c r="A361" s="301" t="s">
        <v>104</v>
      </c>
      <c r="B361" s="301" t="s">
        <v>161</v>
      </c>
      <c r="C361" s="301" t="s">
        <v>106</v>
      </c>
      <c r="D361" s="301"/>
      <c r="E361" s="301"/>
      <c r="F361" s="301"/>
      <c r="G361" s="301"/>
      <c r="H361" s="302" t="s">
        <v>107</v>
      </c>
    </row>
    <row r="362" spans="1:8" ht="45" customHeight="1">
      <c r="A362" s="301"/>
      <c r="B362" s="301"/>
      <c r="C362" s="301" t="s">
        <v>108</v>
      </c>
      <c r="D362" s="301"/>
      <c r="E362" s="301"/>
      <c r="F362" s="301"/>
      <c r="G362" s="85" t="s">
        <v>12</v>
      </c>
      <c r="H362" s="302"/>
    </row>
    <row r="363" spans="1:8" ht="29.25" customHeight="1">
      <c r="A363" s="301"/>
      <c r="B363" s="301"/>
      <c r="C363" s="86" t="s">
        <v>298</v>
      </c>
      <c r="D363" s="86" t="s">
        <v>186</v>
      </c>
      <c r="E363" s="86" t="s">
        <v>187</v>
      </c>
      <c r="F363" s="177" t="s">
        <v>112</v>
      </c>
      <c r="G363" s="178" t="s">
        <v>112</v>
      </c>
      <c r="H363" s="302"/>
    </row>
    <row r="364" spans="1:8" ht="18" customHeight="1">
      <c r="A364" s="87">
        <v>1</v>
      </c>
      <c r="B364" s="86">
        <v>2</v>
      </c>
      <c r="C364" s="87">
        <v>3</v>
      </c>
      <c r="D364" s="87">
        <v>4</v>
      </c>
      <c r="E364" s="87">
        <v>5</v>
      </c>
      <c r="F364" s="88" t="s">
        <v>188</v>
      </c>
      <c r="G364" s="88">
        <v>7</v>
      </c>
      <c r="H364" s="88" t="s">
        <v>113</v>
      </c>
    </row>
    <row r="365" spans="1:8" ht="45" customHeight="1">
      <c r="A365" s="91" t="s">
        <v>165</v>
      </c>
      <c r="B365" s="144" t="s">
        <v>299</v>
      </c>
      <c r="C365" s="91">
        <v>0</v>
      </c>
      <c r="D365" s="91">
        <v>0</v>
      </c>
      <c r="E365" s="121">
        <v>0</v>
      </c>
      <c r="F365" s="121">
        <f>C365*D365*E365</f>
        <v>0</v>
      </c>
      <c r="G365" s="142">
        <v>5000</v>
      </c>
      <c r="H365" s="142">
        <f>F365+G365</f>
        <v>5000</v>
      </c>
    </row>
    <row r="366" spans="1:8" ht="18" customHeight="1">
      <c r="A366" s="296" t="s">
        <v>118</v>
      </c>
      <c r="B366" s="296"/>
      <c r="C366" s="105">
        <f>SUM(C363:C363)</f>
        <v>0</v>
      </c>
      <c r="D366" s="105" t="s">
        <v>119</v>
      </c>
      <c r="E366" s="105" t="s">
        <v>119</v>
      </c>
      <c r="F366" s="137">
        <f>SUM(F363:F365)</f>
        <v>0</v>
      </c>
      <c r="G366" s="137">
        <f>SUM(G365)</f>
        <v>5000</v>
      </c>
      <c r="H366" s="137">
        <f>SUM(H363:H365)</f>
        <v>5000</v>
      </c>
    </row>
    <row r="367" spans="1:6" ht="18" customHeight="1">
      <c r="A367" s="113"/>
      <c r="B367" s="176"/>
      <c r="C367" s="176"/>
      <c r="D367" s="113"/>
      <c r="E367" s="139"/>
      <c r="F367" s="139"/>
    </row>
    <row r="368" spans="1:8" ht="15.75" customHeight="1">
      <c r="A368" s="82"/>
      <c r="B368" s="109"/>
      <c r="C368" s="109"/>
      <c r="D368" s="109"/>
      <c r="E368" s="110"/>
      <c r="F368" s="127"/>
      <c r="G368" s="127"/>
      <c r="H368" s="127"/>
    </row>
    <row r="369" spans="1:8" s="77" customFormat="1" ht="18" customHeight="1">
      <c r="A369" s="141"/>
      <c r="B369" s="297" t="s">
        <v>300</v>
      </c>
      <c r="C369" s="297"/>
      <c r="D369" s="297"/>
      <c r="E369" s="110"/>
      <c r="F369" s="127">
        <f>F122+F138+F169+F180+F192+F207+F230+F250+F261+F274+F356+F366</f>
        <v>8624700</v>
      </c>
      <c r="G369" s="127">
        <f>G154+G122+G138+G169+G180+G192+G207+G230+G250+G261+G274+G356+G366</f>
        <v>29409900</v>
      </c>
      <c r="H369" s="127">
        <f>F369+G369</f>
        <v>38034600</v>
      </c>
    </row>
    <row r="370" spans="1:8" s="77" customFormat="1" ht="18.75" customHeight="1">
      <c r="A370" s="141"/>
      <c r="B370" s="297" t="s">
        <v>301</v>
      </c>
      <c r="C370" s="297"/>
      <c r="D370" s="297"/>
      <c r="E370" s="110"/>
      <c r="F370" s="127">
        <f>F44+F80+F122+F138+F154+F169+F180+F192+F207+F230+F250+F261+F274+F356+F366</f>
        <v>118477899.9997099</v>
      </c>
      <c r="G370" s="127">
        <f>G44+G80+G122+G138+G154+G169+G180+G192+G207+G230+G250+G261+G274+G356+G366</f>
        <v>34000000</v>
      </c>
      <c r="H370" s="127">
        <f>F370+G370</f>
        <v>152477899.9997099</v>
      </c>
    </row>
    <row r="371" spans="1:8" s="77" customFormat="1" ht="42.75" customHeight="1">
      <c r="A371" s="141"/>
      <c r="B371" s="141"/>
      <c r="C371" s="141"/>
      <c r="D371" s="141"/>
      <c r="E371" s="110"/>
      <c r="F371" s="110"/>
      <c r="G371" s="110"/>
      <c r="H371" s="110"/>
    </row>
    <row r="372" spans="1:8" s="77" customFormat="1" ht="18.75">
      <c r="A372" s="291" t="s">
        <v>403</v>
      </c>
      <c r="B372" s="291"/>
      <c r="C372" s="179"/>
      <c r="D372" s="179"/>
      <c r="E372" s="180"/>
      <c r="F372" s="181"/>
      <c r="G372" s="298" t="s">
        <v>404</v>
      </c>
      <c r="H372" s="298"/>
    </row>
    <row r="373" spans="1:8" s="77" customFormat="1" ht="18.75">
      <c r="A373" s="293" t="s">
        <v>302</v>
      </c>
      <c r="B373" s="293"/>
      <c r="E373" s="77" t="s">
        <v>77</v>
      </c>
      <c r="F373" s="182"/>
      <c r="G373" s="299" t="s">
        <v>78</v>
      </c>
      <c r="H373" s="299"/>
    </row>
    <row r="374" spans="1:7" s="77" customFormat="1" ht="18.75">
      <c r="A374" s="183"/>
      <c r="G374" s="184"/>
    </row>
    <row r="375" spans="1:8" s="77" customFormat="1" ht="18.75">
      <c r="A375" s="291" t="s">
        <v>79</v>
      </c>
      <c r="B375" s="291"/>
      <c r="C375" s="179"/>
      <c r="D375" s="179"/>
      <c r="E375" s="180"/>
      <c r="F375" s="181"/>
      <c r="G375" s="292" t="s">
        <v>80</v>
      </c>
      <c r="H375" s="292"/>
    </row>
    <row r="376" spans="1:8" s="77" customFormat="1" ht="18.75">
      <c r="A376" s="293" t="s">
        <v>302</v>
      </c>
      <c r="B376" s="293"/>
      <c r="E376" s="77" t="s">
        <v>77</v>
      </c>
      <c r="F376" s="182"/>
      <c r="G376" s="294" t="s">
        <v>78</v>
      </c>
      <c r="H376" s="294"/>
    </row>
    <row r="377" s="77" customFormat="1" ht="18.75"/>
    <row r="378" s="77" customFormat="1" ht="18.75"/>
    <row r="379" spans="1:12" s="77" customFormat="1" ht="21" customHeight="1">
      <c r="A379" s="295"/>
      <c r="B379" s="295"/>
      <c r="C379" s="295"/>
      <c r="D379" s="295"/>
      <c r="E379" s="295"/>
      <c r="F379" s="295"/>
      <c r="G379" s="295"/>
      <c r="H379" s="295"/>
      <c r="L379" s="185"/>
    </row>
  </sheetData>
  <sheetProtection selectLockedCells="1" selectUnlockedCells="1"/>
  <mergeCells count="379">
    <mergeCell ref="G1:H1"/>
    <mergeCell ref="F2:H2"/>
    <mergeCell ref="G3:H3"/>
    <mergeCell ref="A4:H4"/>
    <mergeCell ref="A5:H5"/>
    <mergeCell ref="A6:H6"/>
    <mergeCell ref="A7:H7"/>
    <mergeCell ref="A8:H8"/>
    <mergeCell ref="A9:H9"/>
    <mergeCell ref="A10:H10"/>
    <mergeCell ref="A11:E11"/>
    <mergeCell ref="A12:H12"/>
    <mergeCell ref="A13:E13"/>
    <mergeCell ref="A14:H14"/>
    <mergeCell ref="A16:H16"/>
    <mergeCell ref="A18:H18"/>
    <mergeCell ref="A19:F19"/>
    <mergeCell ref="A20:H20"/>
    <mergeCell ref="A22:A25"/>
    <mergeCell ref="B22:B25"/>
    <mergeCell ref="C22:G22"/>
    <mergeCell ref="H22:H25"/>
    <mergeCell ref="C23:F23"/>
    <mergeCell ref="C24:C25"/>
    <mergeCell ref="D24:D25"/>
    <mergeCell ref="E24:E25"/>
    <mergeCell ref="F24:F25"/>
    <mergeCell ref="G24:G25"/>
    <mergeCell ref="A31:B31"/>
    <mergeCell ref="A34:H34"/>
    <mergeCell ref="A35:H35"/>
    <mergeCell ref="A37:A39"/>
    <mergeCell ref="B37:C39"/>
    <mergeCell ref="D37:G37"/>
    <mergeCell ref="H37:H39"/>
    <mergeCell ref="D38:F38"/>
    <mergeCell ref="M38:T38"/>
    <mergeCell ref="M39:T39"/>
    <mergeCell ref="B40:C40"/>
    <mergeCell ref="B41:C41"/>
    <mergeCell ref="M41:M43"/>
    <mergeCell ref="N41:O43"/>
    <mergeCell ref="P41:S41"/>
    <mergeCell ref="T41:T43"/>
    <mergeCell ref="A42:C42"/>
    <mergeCell ref="P42:R42"/>
    <mergeCell ref="A46:H46"/>
    <mergeCell ref="A48:H48"/>
    <mergeCell ref="A49:H49"/>
    <mergeCell ref="A50:H50"/>
    <mergeCell ref="A51:A53"/>
    <mergeCell ref="B51:B53"/>
    <mergeCell ref="C51:G51"/>
    <mergeCell ref="H51:H53"/>
    <mergeCell ref="C52:F52"/>
    <mergeCell ref="C53:D53"/>
    <mergeCell ref="C54:D54"/>
    <mergeCell ref="B55:E55"/>
    <mergeCell ref="B56:E56"/>
    <mergeCell ref="C57:D57"/>
    <mergeCell ref="C58:D58"/>
    <mergeCell ref="C59:D59"/>
    <mergeCell ref="C60:D60"/>
    <mergeCell ref="B61:E61"/>
    <mergeCell ref="B62:E62"/>
    <mergeCell ref="B63:E63"/>
    <mergeCell ref="C64:D64"/>
    <mergeCell ref="C65:D65"/>
    <mergeCell ref="C66:D66"/>
    <mergeCell ref="C67:D67"/>
    <mergeCell ref="B68:E68"/>
    <mergeCell ref="C69:D69"/>
    <mergeCell ref="C70:D70"/>
    <mergeCell ref="C71:D71"/>
    <mergeCell ref="C72:D72"/>
    <mergeCell ref="B73:E73"/>
    <mergeCell ref="C74:D74"/>
    <mergeCell ref="C75:D75"/>
    <mergeCell ref="C76:D76"/>
    <mergeCell ref="C77:D77"/>
    <mergeCell ref="C78:D78"/>
    <mergeCell ref="A82:H82"/>
    <mergeCell ref="A83:H83"/>
    <mergeCell ref="A84:H84"/>
    <mergeCell ref="A85:H85"/>
    <mergeCell ref="A86:H86"/>
    <mergeCell ref="A87:A89"/>
    <mergeCell ref="B87:B89"/>
    <mergeCell ref="C87:G87"/>
    <mergeCell ref="H87:H89"/>
    <mergeCell ref="C88:F88"/>
    <mergeCell ref="C89:D89"/>
    <mergeCell ref="C90:D90"/>
    <mergeCell ref="C91:D91"/>
    <mergeCell ref="A92:B92"/>
    <mergeCell ref="C92:D92"/>
    <mergeCell ref="A94:H94"/>
    <mergeCell ref="A95:A97"/>
    <mergeCell ref="B95:B97"/>
    <mergeCell ref="C95:G95"/>
    <mergeCell ref="H95:H97"/>
    <mergeCell ref="C96:F96"/>
    <mergeCell ref="C97:D97"/>
    <mergeCell ref="C98:D98"/>
    <mergeCell ref="C99:D99"/>
    <mergeCell ref="A100:B100"/>
    <mergeCell ref="C100:D100"/>
    <mergeCell ref="A102:H102"/>
    <mergeCell ref="A103:A105"/>
    <mergeCell ref="B103:B105"/>
    <mergeCell ref="C103:G103"/>
    <mergeCell ref="H103:H105"/>
    <mergeCell ref="C104:F104"/>
    <mergeCell ref="C105:D105"/>
    <mergeCell ref="C106:D106"/>
    <mergeCell ref="C107:D107"/>
    <mergeCell ref="A108:B108"/>
    <mergeCell ref="C108:D108"/>
    <mergeCell ref="A112:H112"/>
    <mergeCell ref="A113:A115"/>
    <mergeCell ref="B113:B115"/>
    <mergeCell ref="C113:G113"/>
    <mergeCell ref="H113:H115"/>
    <mergeCell ref="C114:F114"/>
    <mergeCell ref="C115:D115"/>
    <mergeCell ref="C116:D116"/>
    <mergeCell ref="C117:D117"/>
    <mergeCell ref="C118:D118"/>
    <mergeCell ref="C119:D119"/>
    <mergeCell ref="A120:B120"/>
    <mergeCell ref="C120:D120"/>
    <mergeCell ref="A124:H124"/>
    <mergeCell ref="A125:H125"/>
    <mergeCell ref="A126:H126"/>
    <mergeCell ref="A127:H127"/>
    <mergeCell ref="A128:A130"/>
    <mergeCell ref="B128:C130"/>
    <mergeCell ref="D128:G128"/>
    <mergeCell ref="H128:H130"/>
    <mergeCell ref="D129:F129"/>
    <mergeCell ref="B131:C131"/>
    <mergeCell ref="B132:C132"/>
    <mergeCell ref="B133:C133"/>
    <mergeCell ref="B134:C134"/>
    <mergeCell ref="B135:C135"/>
    <mergeCell ref="A136:C136"/>
    <mergeCell ref="A140:H140"/>
    <mergeCell ref="A141:H141"/>
    <mergeCell ref="A142:H142"/>
    <mergeCell ref="A144:H144"/>
    <mergeCell ref="A145:H145"/>
    <mergeCell ref="A146:H146"/>
    <mergeCell ref="A147:A149"/>
    <mergeCell ref="B147:D149"/>
    <mergeCell ref="E147:G147"/>
    <mergeCell ref="H147:H149"/>
    <mergeCell ref="E148:F148"/>
    <mergeCell ref="B150:D150"/>
    <mergeCell ref="B151:D151"/>
    <mergeCell ref="B152:D152"/>
    <mergeCell ref="A156:H156"/>
    <mergeCell ref="A157:F157"/>
    <mergeCell ref="A158:H158"/>
    <mergeCell ref="A160:H160"/>
    <mergeCell ref="A161:A163"/>
    <mergeCell ref="B161:B163"/>
    <mergeCell ref="C161:G161"/>
    <mergeCell ref="H161:H163"/>
    <mergeCell ref="C162:F162"/>
    <mergeCell ref="A169:B169"/>
    <mergeCell ref="A171:H171"/>
    <mergeCell ref="A172:H172"/>
    <mergeCell ref="A174:A176"/>
    <mergeCell ref="B174:C176"/>
    <mergeCell ref="D174:G174"/>
    <mergeCell ref="H174:H176"/>
    <mergeCell ref="D175:F175"/>
    <mergeCell ref="B177:C177"/>
    <mergeCell ref="B178:C178"/>
    <mergeCell ref="B179:C179"/>
    <mergeCell ref="A180:C180"/>
    <mergeCell ref="A182:H182"/>
    <mergeCell ref="A183:H183"/>
    <mergeCell ref="A184:A186"/>
    <mergeCell ref="B184:B186"/>
    <mergeCell ref="C184:G184"/>
    <mergeCell ref="H184:H186"/>
    <mergeCell ref="C185:F185"/>
    <mergeCell ref="A188:A189"/>
    <mergeCell ref="A190:A191"/>
    <mergeCell ref="A192:B192"/>
    <mergeCell ref="A194:H194"/>
    <mergeCell ref="A195:A197"/>
    <mergeCell ref="B195:B197"/>
    <mergeCell ref="C195:G195"/>
    <mergeCell ref="H195:H197"/>
    <mergeCell ref="C196:F196"/>
    <mergeCell ref="A199:A200"/>
    <mergeCell ref="A201:A204"/>
    <mergeCell ref="B201:B202"/>
    <mergeCell ref="B203:B204"/>
    <mergeCell ref="A205:A206"/>
    <mergeCell ref="A207:B207"/>
    <mergeCell ref="A209:H209"/>
    <mergeCell ref="A210:H210"/>
    <mergeCell ref="A211:H211"/>
    <mergeCell ref="A212:A214"/>
    <mergeCell ref="B212:C214"/>
    <mergeCell ref="D212:G212"/>
    <mergeCell ref="H212:H214"/>
    <mergeCell ref="D213:F213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A230:C230"/>
    <mergeCell ref="A232:H232"/>
    <mergeCell ref="A233:H233"/>
    <mergeCell ref="A234:H234"/>
    <mergeCell ref="A235:A237"/>
    <mergeCell ref="B235:D237"/>
    <mergeCell ref="E235:G235"/>
    <mergeCell ref="H235:H237"/>
    <mergeCell ref="E236:F236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A252:H252"/>
    <mergeCell ref="A254:H254"/>
    <mergeCell ref="A255:A257"/>
    <mergeCell ref="B255:D257"/>
    <mergeCell ref="E255:G255"/>
    <mergeCell ref="H255:H257"/>
    <mergeCell ref="E256:F256"/>
    <mergeCell ref="B258:D258"/>
    <mergeCell ref="B259:D259"/>
    <mergeCell ref="B260:D260"/>
    <mergeCell ref="B261:D261"/>
    <mergeCell ref="A263:H263"/>
    <mergeCell ref="A264:H264"/>
    <mergeCell ref="A265:H265"/>
    <mergeCell ref="A266:A268"/>
    <mergeCell ref="B266:C268"/>
    <mergeCell ref="D266:G266"/>
    <mergeCell ref="H266:H268"/>
    <mergeCell ref="D267:F267"/>
    <mergeCell ref="B269:C269"/>
    <mergeCell ref="B270:C270"/>
    <mergeCell ref="B271:C271"/>
    <mergeCell ref="B272:C272"/>
    <mergeCell ref="B273:C273"/>
    <mergeCell ref="B274:D274"/>
    <mergeCell ref="A276:H276"/>
    <mergeCell ref="A277:H277"/>
    <mergeCell ref="A278:A280"/>
    <mergeCell ref="B278:C280"/>
    <mergeCell ref="D278:G278"/>
    <mergeCell ref="H278:H280"/>
    <mergeCell ref="D279:F279"/>
    <mergeCell ref="B281:C281"/>
    <mergeCell ref="B282:E282"/>
    <mergeCell ref="B283:C283"/>
    <mergeCell ref="B284:C284"/>
    <mergeCell ref="B285:C285"/>
    <mergeCell ref="B286:D286"/>
    <mergeCell ref="A288:H288"/>
    <mergeCell ref="A289:A291"/>
    <mergeCell ref="B289:C291"/>
    <mergeCell ref="D289:G289"/>
    <mergeCell ref="H289:H291"/>
    <mergeCell ref="D290:F290"/>
    <mergeCell ref="B292:C292"/>
    <mergeCell ref="B293:E293"/>
    <mergeCell ref="B294:C294"/>
    <mergeCell ref="B295:D295"/>
    <mergeCell ref="A296:H296"/>
    <mergeCell ref="A299:H299"/>
    <mergeCell ref="A300:A302"/>
    <mergeCell ref="B300:C302"/>
    <mergeCell ref="D300:G300"/>
    <mergeCell ref="H300:H302"/>
    <mergeCell ref="D301:F301"/>
    <mergeCell ref="B303:C303"/>
    <mergeCell ref="B304:E304"/>
    <mergeCell ref="B305:C305"/>
    <mergeCell ref="B306:D306"/>
    <mergeCell ref="A308:H308"/>
    <mergeCell ref="A309:A311"/>
    <mergeCell ref="B309:C311"/>
    <mergeCell ref="D309:G309"/>
    <mergeCell ref="H309:H311"/>
    <mergeCell ref="D310:F310"/>
    <mergeCell ref="B312:C312"/>
    <mergeCell ref="B313:E313"/>
    <mergeCell ref="B314:C314"/>
    <mergeCell ref="B315:D315"/>
    <mergeCell ref="A317:H317"/>
    <mergeCell ref="A318:A320"/>
    <mergeCell ref="B318:C320"/>
    <mergeCell ref="D318:G318"/>
    <mergeCell ref="H318:H320"/>
    <mergeCell ref="D319:F319"/>
    <mergeCell ref="B321:C321"/>
    <mergeCell ref="B322:E322"/>
    <mergeCell ref="B323:C323"/>
    <mergeCell ref="B324:C324"/>
    <mergeCell ref="B325:C325"/>
    <mergeCell ref="B326:C326"/>
    <mergeCell ref="B327:C327"/>
    <mergeCell ref="B328:D328"/>
    <mergeCell ref="A330:H330"/>
    <mergeCell ref="A331:A333"/>
    <mergeCell ref="B331:C333"/>
    <mergeCell ref="D331:G331"/>
    <mergeCell ref="H331:H333"/>
    <mergeCell ref="D332:F332"/>
    <mergeCell ref="B334:C334"/>
    <mergeCell ref="B335:E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A347:H347"/>
    <mergeCell ref="A348:A350"/>
    <mergeCell ref="B348:C350"/>
    <mergeCell ref="D348:G348"/>
    <mergeCell ref="H348:H350"/>
    <mergeCell ref="D349:F349"/>
    <mergeCell ref="B351:C351"/>
    <mergeCell ref="B352:E352"/>
    <mergeCell ref="B353:C353"/>
    <mergeCell ref="B354:D354"/>
    <mergeCell ref="B356:C356"/>
    <mergeCell ref="A358:H358"/>
    <mergeCell ref="A373:B373"/>
    <mergeCell ref="G373:H373"/>
    <mergeCell ref="A360:H360"/>
    <mergeCell ref="A361:A363"/>
    <mergeCell ref="B361:B363"/>
    <mergeCell ref="C361:G361"/>
    <mergeCell ref="H361:H363"/>
    <mergeCell ref="C362:F362"/>
    <mergeCell ref="A375:B375"/>
    <mergeCell ref="G375:H375"/>
    <mergeCell ref="A376:B376"/>
    <mergeCell ref="G376:H376"/>
    <mergeCell ref="A379:H379"/>
    <mergeCell ref="A366:B366"/>
    <mergeCell ref="B369:D369"/>
    <mergeCell ref="B370:D370"/>
    <mergeCell ref="A372:B372"/>
    <mergeCell ref="G372:H372"/>
  </mergeCells>
  <printOptions/>
  <pageMargins left="1.18125" right="0.39375" top="0.39375" bottom="0.39375" header="0.5118055555555555" footer="0.5118055555555555"/>
  <pageSetup fitToHeight="6" fitToWidth="1"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8"/>
  <sheetViews>
    <sheetView zoomScalePageLayoutView="0" workbookViewId="0" topLeftCell="A34">
      <selection activeCell="H48" sqref="H48"/>
    </sheetView>
  </sheetViews>
  <sheetFormatPr defaultColWidth="9.140625" defaultRowHeight="15"/>
  <cols>
    <col min="1" max="1" width="5.8515625" style="77" customWidth="1"/>
    <col min="2" max="2" width="94.421875" style="77" customWidth="1"/>
    <col min="3" max="3" width="24.8515625" style="77" customWidth="1"/>
    <col min="4" max="4" width="18.8515625" style="77" customWidth="1"/>
    <col min="5" max="5" width="19.7109375" style="77" customWidth="1"/>
    <col min="6" max="254" width="9.00390625" style="77" customWidth="1"/>
  </cols>
  <sheetData>
    <row r="1" spans="1:5" ht="22.5" customHeight="1">
      <c r="A1" s="75"/>
      <c r="B1" s="75"/>
      <c r="C1" s="75"/>
      <c r="D1" s="359" t="s">
        <v>305</v>
      </c>
      <c r="E1" s="359"/>
    </row>
    <row r="2" spans="1:5" ht="94.5" customHeight="1">
      <c r="A2" s="75"/>
      <c r="B2" s="75"/>
      <c r="C2" s="360" t="s">
        <v>92</v>
      </c>
      <c r="D2" s="360"/>
      <c r="E2" s="360"/>
    </row>
    <row r="3" spans="1:5" ht="39" customHeight="1">
      <c r="A3" s="75"/>
      <c r="B3" s="75"/>
      <c r="C3" s="75"/>
      <c r="D3" s="293"/>
      <c r="E3" s="293"/>
    </row>
    <row r="4" spans="1:5" ht="15.75" customHeight="1">
      <c r="A4" s="338" t="s">
        <v>397</v>
      </c>
      <c r="B4" s="338"/>
      <c r="C4" s="338"/>
      <c r="D4" s="338"/>
      <c r="E4" s="338"/>
    </row>
    <row r="5" spans="1:5" ht="15.75" customHeight="1">
      <c r="A5" s="338" t="s">
        <v>93</v>
      </c>
      <c r="B5" s="338"/>
      <c r="C5" s="338"/>
      <c r="D5" s="338"/>
      <c r="E5" s="338"/>
    </row>
    <row r="6" spans="1:5" ht="18.75" customHeight="1">
      <c r="A6" s="338" t="s">
        <v>94</v>
      </c>
      <c r="B6" s="338"/>
      <c r="C6" s="338"/>
      <c r="D6" s="338"/>
      <c r="E6" s="338"/>
    </row>
    <row r="7" spans="1:5" ht="18.75" customHeight="1">
      <c r="A7" s="357" t="s">
        <v>95</v>
      </c>
      <c r="B7" s="357"/>
      <c r="C7" s="357"/>
      <c r="D7" s="357"/>
      <c r="E7" s="357"/>
    </row>
    <row r="8" spans="1:5" ht="22.5" customHeight="1">
      <c r="A8" s="358" t="s">
        <v>96</v>
      </c>
      <c r="B8" s="358"/>
      <c r="C8" s="358"/>
      <c r="D8" s="358"/>
      <c r="E8" s="358"/>
    </row>
    <row r="9" spans="1:5" ht="18.75" customHeight="1">
      <c r="A9" s="357" t="s">
        <v>97</v>
      </c>
      <c r="B9" s="357"/>
      <c r="C9" s="357"/>
      <c r="D9" s="357"/>
      <c r="E9" s="357"/>
    </row>
    <row r="10" spans="1:5" ht="18.75" customHeight="1">
      <c r="A10" s="325" t="s">
        <v>306</v>
      </c>
      <c r="B10" s="325"/>
      <c r="C10" s="325"/>
      <c r="D10" s="325"/>
      <c r="E10" s="325"/>
    </row>
    <row r="11" spans="1:253" ht="15.75" customHeight="1">
      <c r="A11" s="343" t="s">
        <v>99</v>
      </c>
      <c r="B11" s="343"/>
      <c r="C11" s="343"/>
      <c r="D11" s="343"/>
      <c r="E11" s="343"/>
      <c r="IS11"/>
    </row>
    <row r="12" spans="1:5" ht="12" customHeight="1">
      <c r="A12" s="75"/>
      <c r="B12" s="189"/>
      <c r="C12" s="189"/>
      <c r="D12" s="189"/>
      <c r="E12" s="189"/>
    </row>
    <row r="13" spans="1:5" ht="76.5" customHeight="1">
      <c r="A13" s="323" t="s">
        <v>307</v>
      </c>
      <c r="B13" s="323"/>
      <c r="C13" s="323"/>
      <c r="D13" s="323"/>
      <c r="E13" s="323"/>
    </row>
    <row r="14" spans="1:253" ht="18.75" customHeight="1">
      <c r="A14" s="350" t="s">
        <v>308</v>
      </c>
      <c r="B14" s="350"/>
      <c r="C14" s="350"/>
      <c r="D14" s="190"/>
      <c r="E14" s="19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>
      <c r="A15" s="82"/>
      <c r="B15" s="191"/>
      <c r="C15" s="19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5" s="193" customFormat="1" ht="34.5" customHeight="1">
      <c r="A16" s="349" t="s">
        <v>104</v>
      </c>
      <c r="B16" s="349" t="s">
        <v>309</v>
      </c>
      <c r="C16" s="349" t="s">
        <v>310</v>
      </c>
      <c r="D16" s="349" t="s">
        <v>311</v>
      </c>
      <c r="E16" s="349" t="s">
        <v>112</v>
      </c>
    </row>
    <row r="17" spans="1:5" s="193" customFormat="1" ht="18.75" customHeight="1">
      <c r="A17" s="349"/>
      <c r="B17" s="349"/>
      <c r="C17" s="349"/>
      <c r="D17" s="349"/>
      <c r="E17" s="349"/>
    </row>
    <row r="18" spans="1:5" s="193" customFormat="1" ht="17.25" customHeight="1">
      <c r="A18" s="192">
        <v>1</v>
      </c>
      <c r="B18" s="192">
        <v>2</v>
      </c>
      <c r="C18" s="192">
        <v>3</v>
      </c>
      <c r="D18" s="192">
        <v>4</v>
      </c>
      <c r="E18" s="192" t="s">
        <v>312</v>
      </c>
    </row>
    <row r="19" spans="1:5" ht="17.25" customHeight="1">
      <c r="A19" s="194">
        <v>1</v>
      </c>
      <c r="B19" s="195" t="s">
        <v>24</v>
      </c>
      <c r="C19" s="196">
        <v>69350</v>
      </c>
      <c r="D19" s="197">
        <f>E19/C19</f>
        <v>2042.732516222062</v>
      </c>
      <c r="E19" s="197">
        <f>142665800-1002300</f>
        <v>141663500</v>
      </c>
    </row>
    <row r="20" spans="1:5" ht="17.25" customHeight="1">
      <c r="A20" s="194">
        <v>2</v>
      </c>
      <c r="B20" s="195" t="s">
        <v>370</v>
      </c>
      <c r="C20" s="196" t="s">
        <v>16</v>
      </c>
      <c r="D20" s="197" t="s">
        <v>16</v>
      </c>
      <c r="E20" s="197">
        <v>6300</v>
      </c>
    </row>
    <row r="21" spans="1:5" ht="36.75" customHeight="1">
      <c r="A21" s="194">
        <v>3</v>
      </c>
      <c r="B21" s="195" t="s">
        <v>313</v>
      </c>
      <c r="C21" s="196">
        <v>69350</v>
      </c>
      <c r="D21" s="197">
        <f>E21/C21</f>
        <v>486.22927180966116</v>
      </c>
      <c r="E21" s="197">
        <v>33720000</v>
      </c>
    </row>
    <row r="22" spans="1:5" ht="21" customHeight="1">
      <c r="A22" s="194">
        <v>4</v>
      </c>
      <c r="B22" s="195" t="s">
        <v>370</v>
      </c>
      <c r="C22" s="196" t="s">
        <v>16</v>
      </c>
      <c r="D22" s="197" t="s">
        <v>16</v>
      </c>
      <c r="E22" s="197">
        <v>280000</v>
      </c>
    </row>
    <row r="23" spans="1:5" ht="17.25" customHeight="1">
      <c r="A23" s="347" t="s">
        <v>118</v>
      </c>
      <c r="B23" s="347"/>
      <c r="C23" s="198" t="s">
        <v>16</v>
      </c>
      <c r="D23" s="199">
        <f>D19+D21</f>
        <v>2528.9617880317232</v>
      </c>
      <c r="E23" s="199">
        <f>SUM(E19:E22)</f>
        <v>175669800</v>
      </c>
    </row>
    <row r="24" spans="1:5" ht="15.75" customHeight="1">
      <c r="A24" s="200"/>
      <c r="B24" s="200"/>
      <c r="C24" s="141"/>
      <c r="D24" s="141"/>
      <c r="E24" s="110"/>
    </row>
    <row r="25" spans="1:5" ht="15.75" customHeight="1">
      <c r="A25" s="348" t="s">
        <v>314</v>
      </c>
      <c r="B25" s="348"/>
      <c r="C25" s="141"/>
      <c r="D25" s="141"/>
      <c r="E25" s="110">
        <f>E23</f>
        <v>175669800</v>
      </c>
    </row>
    <row r="26" spans="1:5" ht="15.75" customHeight="1">
      <c r="A26" s="201"/>
      <c r="B26" s="201"/>
      <c r="C26" s="141"/>
      <c r="D26" s="141"/>
      <c r="E26" s="110"/>
    </row>
    <row r="27" spans="1:5" ht="15.75" customHeight="1">
      <c r="A27" s="350" t="s">
        <v>391</v>
      </c>
      <c r="B27" s="350"/>
      <c r="C27" s="350"/>
      <c r="D27" s="190"/>
      <c r="E27" s="190"/>
    </row>
    <row r="28" spans="1:5" ht="15.75" customHeight="1">
      <c r="A28" s="82"/>
      <c r="B28" s="191"/>
      <c r="C28" s="191"/>
      <c r="D28"/>
      <c r="E28"/>
    </row>
    <row r="29" spans="1:5" ht="39" customHeight="1">
      <c r="A29" s="349" t="s">
        <v>104</v>
      </c>
      <c r="B29" s="349" t="s">
        <v>309</v>
      </c>
      <c r="C29" s="349" t="s">
        <v>310</v>
      </c>
      <c r="D29" s="273" t="s">
        <v>311</v>
      </c>
      <c r="E29" s="192" t="s">
        <v>112</v>
      </c>
    </row>
    <row r="30" spans="1:5" ht="15.75" customHeight="1">
      <c r="A30" s="349"/>
      <c r="B30" s="349"/>
      <c r="C30" s="349"/>
      <c r="D30" s="192"/>
      <c r="E30" s="192"/>
    </row>
    <row r="31" spans="1:5" ht="15.75" customHeight="1">
      <c r="A31" s="192">
        <v>1</v>
      </c>
      <c r="B31" s="192">
        <v>2</v>
      </c>
      <c r="C31" s="192">
        <v>3</v>
      </c>
      <c r="D31" s="192">
        <v>4</v>
      </c>
      <c r="E31" s="192" t="s">
        <v>312</v>
      </c>
    </row>
    <row r="32" spans="1:5" ht="15.75" customHeight="1">
      <c r="A32" s="194">
        <v>1</v>
      </c>
      <c r="B32" s="195" t="s">
        <v>392</v>
      </c>
      <c r="C32" s="196">
        <v>1</v>
      </c>
      <c r="D32" s="197">
        <f>1000+7380+1035+2483</f>
        <v>11898</v>
      </c>
      <c r="E32" s="197">
        <f>C32*D32</f>
        <v>11898</v>
      </c>
    </row>
    <row r="33" spans="1:5" ht="15.75" customHeight="1">
      <c r="A33" s="347" t="s">
        <v>118</v>
      </c>
      <c r="B33" s="347"/>
      <c r="C33" s="198" t="s">
        <v>16</v>
      </c>
      <c r="D33" s="198" t="s">
        <v>16</v>
      </c>
      <c r="E33" s="199">
        <f>SUM(E32:E32)</f>
        <v>11898</v>
      </c>
    </row>
    <row r="34" spans="1:5" ht="15.75" customHeight="1">
      <c r="A34" s="201"/>
      <c r="B34" s="201"/>
      <c r="C34" s="141"/>
      <c r="D34" s="141"/>
      <c r="E34" s="110"/>
    </row>
    <row r="35" spans="1:5" ht="15.75" customHeight="1">
      <c r="A35" s="348" t="s">
        <v>393</v>
      </c>
      <c r="B35" s="348"/>
      <c r="C35" s="141"/>
      <c r="D35" s="141"/>
      <c r="E35" s="110">
        <f>E33</f>
        <v>11898</v>
      </c>
    </row>
    <row r="36" spans="1:5" ht="15.75" customHeight="1">
      <c r="A36" s="350" t="s">
        <v>394</v>
      </c>
      <c r="B36" s="350"/>
      <c r="C36" s="350"/>
      <c r="D36" s="190"/>
      <c r="E36" s="190"/>
    </row>
    <row r="37" spans="1:5" ht="15.75" customHeight="1">
      <c r="A37" s="82"/>
      <c r="B37" s="191"/>
      <c r="C37" s="191"/>
      <c r="D37"/>
      <c r="E37"/>
    </row>
    <row r="38" spans="1:5" ht="43.5" customHeight="1">
      <c r="A38" s="349" t="s">
        <v>104</v>
      </c>
      <c r="B38" s="349" t="s">
        <v>309</v>
      </c>
      <c r="C38" s="349" t="s">
        <v>310</v>
      </c>
      <c r="D38" s="273" t="s">
        <v>311</v>
      </c>
      <c r="E38" s="192" t="s">
        <v>112</v>
      </c>
    </row>
    <row r="39" spans="1:5" ht="15.75" customHeight="1">
      <c r="A39" s="349"/>
      <c r="B39" s="349"/>
      <c r="C39" s="349"/>
      <c r="D39" s="192"/>
      <c r="E39" s="192"/>
    </row>
    <row r="40" spans="1:5" ht="15.75" customHeight="1">
      <c r="A40" s="192">
        <v>1</v>
      </c>
      <c r="B40" s="192">
        <v>2</v>
      </c>
      <c r="C40" s="192">
        <v>3</v>
      </c>
      <c r="D40" s="192">
        <v>4</v>
      </c>
      <c r="E40" s="192" t="s">
        <v>312</v>
      </c>
    </row>
    <row r="41" spans="1:5" ht="15.75" customHeight="1">
      <c r="A41" s="194">
        <v>1</v>
      </c>
      <c r="B41" s="195" t="s">
        <v>385</v>
      </c>
      <c r="C41" s="196">
        <v>1</v>
      </c>
      <c r="D41" s="197">
        <f>1645.73+449.37+221.41</f>
        <v>2316.5099999999998</v>
      </c>
      <c r="E41" s="197">
        <f>C41*D41</f>
        <v>2316.5099999999998</v>
      </c>
    </row>
    <row r="42" spans="1:5" ht="15.75" customHeight="1">
      <c r="A42" s="347" t="s">
        <v>118</v>
      </c>
      <c r="B42" s="347"/>
      <c r="C42" s="198" t="s">
        <v>16</v>
      </c>
      <c r="D42" s="198" t="s">
        <v>16</v>
      </c>
      <c r="E42" s="199">
        <f>SUM(E41:E41)</f>
        <v>2316.5099999999998</v>
      </c>
    </row>
    <row r="43" spans="1:5" ht="15.75" customHeight="1">
      <c r="A43" s="201"/>
      <c r="B43" s="201"/>
      <c r="C43" s="141"/>
      <c r="D43" s="141"/>
      <c r="E43" s="110"/>
    </row>
    <row r="44" spans="1:5" ht="15.75" customHeight="1">
      <c r="A44" s="348" t="s">
        <v>395</v>
      </c>
      <c r="B44" s="348"/>
      <c r="C44" s="141"/>
      <c r="D44" s="141"/>
      <c r="E44" s="110">
        <f>E42</f>
        <v>2316.5099999999998</v>
      </c>
    </row>
    <row r="45" spans="1:5" ht="15.75" customHeight="1">
      <c r="A45" s="201"/>
      <c r="B45" s="201"/>
      <c r="C45" s="141"/>
      <c r="D45" s="141"/>
      <c r="E45" s="110"/>
    </row>
    <row r="46" spans="1:5" ht="30.75" customHeight="1">
      <c r="A46" s="323" t="s">
        <v>315</v>
      </c>
      <c r="B46" s="323"/>
      <c r="C46" s="323"/>
      <c r="D46" s="323"/>
      <c r="E46" s="323"/>
    </row>
    <row r="47" spans="1:253" ht="18.75" customHeight="1">
      <c r="A47" s="356" t="s">
        <v>316</v>
      </c>
      <c r="B47" s="356"/>
      <c r="C47" s="356"/>
      <c r="D47" s="190"/>
      <c r="E47" s="190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ht="17.25" customHeight="1">
      <c r="A48" s="202"/>
    </row>
    <row r="49" spans="1:5" s="193" customFormat="1" ht="17.25" customHeight="1">
      <c r="A49" s="349" t="s">
        <v>104</v>
      </c>
      <c r="B49" s="349" t="s">
        <v>317</v>
      </c>
      <c r="C49" s="349"/>
      <c r="D49" s="349"/>
      <c r="E49" s="349" t="s">
        <v>112</v>
      </c>
    </row>
    <row r="50" spans="1:5" ht="9.75" customHeight="1">
      <c r="A50" s="349"/>
      <c r="B50" s="349"/>
      <c r="C50" s="349"/>
      <c r="D50" s="349"/>
      <c r="E50" s="349"/>
    </row>
    <row r="51" spans="1:5" s="193" customFormat="1" ht="17.25" customHeight="1">
      <c r="A51" s="192">
        <v>1</v>
      </c>
      <c r="B51" s="349">
        <v>2</v>
      </c>
      <c r="C51" s="349"/>
      <c r="D51" s="349"/>
      <c r="E51" s="203">
        <v>3</v>
      </c>
    </row>
    <row r="52" spans="1:5" ht="39.75" customHeight="1">
      <c r="A52" s="194">
        <v>1</v>
      </c>
      <c r="B52" s="352" t="s">
        <v>318</v>
      </c>
      <c r="C52" s="352"/>
      <c r="D52" s="352"/>
      <c r="E52" s="197">
        <f>28200+13209150+13800+23397100</f>
        <v>36648250</v>
      </c>
    </row>
    <row r="53" spans="1:5" ht="17.25" customHeight="1">
      <c r="A53" s="353" t="s">
        <v>118</v>
      </c>
      <c r="B53" s="353"/>
      <c r="C53" s="353"/>
      <c r="D53" s="353"/>
      <c r="E53" s="199">
        <f>SUM(E52:E52)</f>
        <v>36648250</v>
      </c>
    </row>
    <row r="54" ht="18.75">
      <c r="A54" s="202"/>
    </row>
    <row r="55" spans="1:253" ht="15.75" customHeight="1">
      <c r="A55" s="354" t="s">
        <v>319</v>
      </c>
      <c r="B55" s="354"/>
      <c r="C55" s="354"/>
      <c r="D55" s="354"/>
      <c r="E55" s="110">
        <f>E53</f>
        <v>36648250</v>
      </c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ht="18.75">
      <c r="A56" s="202"/>
    </row>
    <row r="57" spans="1:5" ht="18.75" customHeight="1">
      <c r="A57" s="141"/>
      <c r="B57" s="341" t="s">
        <v>301</v>
      </c>
      <c r="C57" s="341"/>
      <c r="D57" s="341"/>
      <c r="E57" s="127">
        <f>E25+E55+E35+E44</f>
        <v>212332264.51</v>
      </c>
    </row>
    <row r="58" spans="1:5" ht="18.75" customHeight="1">
      <c r="A58" s="141"/>
      <c r="B58" s="187"/>
      <c r="C58" s="187"/>
      <c r="D58" s="187"/>
      <c r="E58" s="110"/>
    </row>
    <row r="59" spans="1:5" ht="18.75" customHeight="1">
      <c r="A59" s="141"/>
      <c r="B59" s="187"/>
      <c r="C59" s="187"/>
      <c r="D59" s="187"/>
      <c r="E59" s="110"/>
    </row>
    <row r="60" spans="1:5" ht="18.75">
      <c r="A60" s="183"/>
      <c r="E60" s="184" t="s">
        <v>320</v>
      </c>
    </row>
    <row r="61" spans="1:8" ht="18.75" customHeight="1">
      <c r="A61" s="291" t="s">
        <v>403</v>
      </c>
      <c r="B61" s="291"/>
      <c r="C61" s="179"/>
      <c r="D61" s="355" t="s">
        <v>404</v>
      </c>
      <c r="E61" s="355"/>
      <c r="F61" s="181"/>
      <c r="G61" s="298"/>
      <c r="H61" s="298"/>
    </row>
    <row r="62" spans="1:5" ht="18.75" customHeight="1">
      <c r="A62" s="293" t="s">
        <v>302</v>
      </c>
      <c r="B62" s="293"/>
      <c r="C62" s="204" t="s">
        <v>77</v>
      </c>
      <c r="D62" s="299" t="s">
        <v>78</v>
      </c>
      <c r="E62" s="299"/>
    </row>
    <row r="63" spans="1:4" ht="18.75">
      <c r="A63" s="183"/>
      <c r="D63" s="184"/>
    </row>
    <row r="64" spans="1:5" ht="18.75" customHeight="1">
      <c r="A64" s="291" t="s">
        <v>79</v>
      </c>
      <c r="B64" s="291"/>
      <c r="C64" s="179"/>
      <c r="D64" s="351" t="s">
        <v>80</v>
      </c>
      <c r="E64" s="351"/>
    </row>
    <row r="65" spans="1:5" ht="18.75" customHeight="1">
      <c r="A65" s="293" t="s">
        <v>302</v>
      </c>
      <c r="B65" s="293"/>
      <c r="C65" s="204" t="s">
        <v>77</v>
      </c>
      <c r="D65" s="294" t="s">
        <v>78</v>
      </c>
      <c r="E65" s="294"/>
    </row>
    <row r="68" spans="1:9" ht="39.75" customHeight="1">
      <c r="A68" s="295"/>
      <c r="B68" s="295"/>
      <c r="C68" s="295"/>
      <c r="D68" s="295"/>
      <c r="E68" s="295"/>
      <c r="I68" s="185"/>
    </row>
  </sheetData>
  <sheetProtection selectLockedCells="1" selectUnlockedCells="1"/>
  <mergeCells count="52">
    <mergeCell ref="D1:E1"/>
    <mergeCell ref="C2:E2"/>
    <mergeCell ref="D3:E3"/>
    <mergeCell ref="A4:E4"/>
    <mergeCell ref="A5:E5"/>
    <mergeCell ref="A6:E6"/>
    <mergeCell ref="A7:E7"/>
    <mergeCell ref="A8:E8"/>
    <mergeCell ref="A9:E9"/>
    <mergeCell ref="A10:E10"/>
    <mergeCell ref="A11:E11"/>
    <mergeCell ref="A13:E13"/>
    <mergeCell ref="A14:C14"/>
    <mergeCell ref="A16:A17"/>
    <mergeCell ref="B16:B17"/>
    <mergeCell ref="C16:C17"/>
    <mergeCell ref="D16:D17"/>
    <mergeCell ref="E16:E17"/>
    <mergeCell ref="A23:B23"/>
    <mergeCell ref="A25:B25"/>
    <mergeCell ref="A46:E46"/>
    <mergeCell ref="A47:C47"/>
    <mergeCell ref="A49:A50"/>
    <mergeCell ref="B49:D50"/>
    <mergeCell ref="E49:E50"/>
    <mergeCell ref="A27:C27"/>
    <mergeCell ref="A29:A30"/>
    <mergeCell ref="B29:B30"/>
    <mergeCell ref="B51:D51"/>
    <mergeCell ref="B52:D52"/>
    <mergeCell ref="A53:D53"/>
    <mergeCell ref="A55:D55"/>
    <mergeCell ref="B57:D57"/>
    <mergeCell ref="A61:B61"/>
    <mergeCell ref="D61:E61"/>
    <mergeCell ref="A68:E68"/>
    <mergeCell ref="G61:H61"/>
    <mergeCell ref="A62:B62"/>
    <mergeCell ref="D62:E62"/>
    <mergeCell ref="A64:B64"/>
    <mergeCell ref="D64:E64"/>
    <mergeCell ref="A65:B65"/>
    <mergeCell ref="D65:E65"/>
    <mergeCell ref="A42:B42"/>
    <mergeCell ref="A44:B44"/>
    <mergeCell ref="C29:C30"/>
    <mergeCell ref="A33:B33"/>
    <mergeCell ref="A35:B35"/>
    <mergeCell ref="A36:C36"/>
    <mergeCell ref="A38:A39"/>
    <mergeCell ref="B38:B39"/>
    <mergeCell ref="C38:C39"/>
  </mergeCells>
  <printOptions/>
  <pageMargins left="1.18125" right="0.6215277777777778" top="0.39375" bottom="0.39375" header="0.5118055555555555" footer="0.5118055555555555"/>
  <pageSetup fitToHeight="6" fitToWidth="1" horizontalDpi="600" verticalDpi="600" orientation="portrait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6"/>
  <sheetViews>
    <sheetView zoomScalePageLayoutView="0" workbookViewId="0" topLeftCell="A16">
      <selection activeCell="E32" sqref="E32"/>
    </sheetView>
  </sheetViews>
  <sheetFormatPr defaultColWidth="9.140625" defaultRowHeight="15"/>
  <cols>
    <col min="1" max="1" width="5.8515625" style="77" customWidth="1"/>
    <col min="2" max="2" width="94.421875" style="77" customWidth="1"/>
    <col min="3" max="3" width="24.8515625" style="77" customWidth="1"/>
    <col min="4" max="4" width="18.8515625" style="77" customWidth="1"/>
    <col min="5" max="5" width="19.7109375" style="77" customWidth="1"/>
    <col min="6" max="254" width="9.00390625" style="77" customWidth="1"/>
  </cols>
  <sheetData>
    <row r="1" spans="1:5" ht="22.5" customHeight="1">
      <c r="A1" s="75"/>
      <c r="B1" s="75"/>
      <c r="C1" s="75"/>
      <c r="D1" s="359" t="s">
        <v>305</v>
      </c>
      <c r="E1" s="359"/>
    </row>
    <row r="2" spans="1:5" ht="85.5" customHeight="1">
      <c r="A2" s="75"/>
      <c r="B2" s="75"/>
      <c r="C2" s="360" t="s">
        <v>92</v>
      </c>
      <c r="D2" s="360"/>
      <c r="E2" s="360"/>
    </row>
    <row r="3" spans="1:5" ht="39" customHeight="1">
      <c r="A3" s="75"/>
      <c r="B3" s="75"/>
      <c r="C3" s="75"/>
      <c r="D3" s="293"/>
      <c r="E3" s="293"/>
    </row>
    <row r="4" spans="1:5" ht="15.75" customHeight="1">
      <c r="A4" s="338" t="s">
        <v>397</v>
      </c>
      <c r="B4" s="338"/>
      <c r="C4" s="338"/>
      <c r="D4" s="338"/>
      <c r="E4" s="338"/>
    </row>
    <row r="5" spans="1:5" ht="15.75" customHeight="1">
      <c r="A5" s="338" t="s">
        <v>93</v>
      </c>
      <c r="B5" s="338"/>
      <c r="C5" s="338"/>
      <c r="D5" s="338"/>
      <c r="E5" s="338"/>
    </row>
    <row r="6" spans="1:5" ht="18.75" customHeight="1">
      <c r="A6" s="338" t="s">
        <v>94</v>
      </c>
      <c r="B6" s="338"/>
      <c r="C6" s="338"/>
      <c r="D6" s="338"/>
      <c r="E6" s="338"/>
    </row>
    <row r="7" spans="1:5" ht="18.75" customHeight="1">
      <c r="A7" s="357" t="s">
        <v>95</v>
      </c>
      <c r="B7" s="357"/>
      <c r="C7" s="357"/>
      <c r="D7" s="357"/>
      <c r="E7" s="357"/>
    </row>
    <row r="8" spans="1:5" ht="22.5" customHeight="1">
      <c r="A8" s="358" t="s">
        <v>96</v>
      </c>
      <c r="B8" s="358"/>
      <c r="C8" s="358"/>
      <c r="D8" s="358"/>
      <c r="E8" s="358"/>
    </row>
    <row r="9" spans="1:5" ht="18.75" customHeight="1">
      <c r="A9" s="357" t="s">
        <v>97</v>
      </c>
      <c r="B9" s="357"/>
      <c r="C9" s="357"/>
      <c r="D9" s="357"/>
      <c r="E9" s="357"/>
    </row>
    <row r="10" spans="1:5" ht="18.75" customHeight="1">
      <c r="A10" s="325" t="s">
        <v>321</v>
      </c>
      <c r="B10" s="325"/>
      <c r="C10" s="325"/>
      <c r="D10" s="325"/>
      <c r="E10" s="325"/>
    </row>
    <row r="11" spans="1:253" ht="15.75" customHeight="1">
      <c r="A11" s="343" t="s">
        <v>99</v>
      </c>
      <c r="B11" s="343"/>
      <c r="C11" s="343"/>
      <c r="D11" s="343"/>
      <c r="E11" s="343"/>
      <c r="IS11"/>
    </row>
    <row r="12" spans="1:5" ht="12" customHeight="1">
      <c r="A12" s="75"/>
      <c r="B12" s="189"/>
      <c r="C12" s="189"/>
      <c r="D12" s="189"/>
      <c r="E12" s="189"/>
    </row>
    <row r="13" spans="1:5" ht="76.5" customHeight="1">
      <c r="A13" s="323" t="s">
        <v>307</v>
      </c>
      <c r="B13" s="323"/>
      <c r="C13" s="323"/>
      <c r="D13" s="323"/>
      <c r="E13" s="323"/>
    </row>
    <row r="14" spans="1:253" ht="18.75" customHeight="1">
      <c r="A14" s="350" t="s">
        <v>308</v>
      </c>
      <c r="B14" s="350"/>
      <c r="C14" s="350"/>
      <c r="D14" s="190"/>
      <c r="E14" s="19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>
      <c r="A15" s="82"/>
      <c r="B15" s="191"/>
      <c r="C15" s="19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5" s="193" customFormat="1" ht="34.5" customHeight="1">
      <c r="A16" s="349" t="s">
        <v>104</v>
      </c>
      <c r="B16" s="349" t="s">
        <v>309</v>
      </c>
      <c r="C16" s="349" t="s">
        <v>310</v>
      </c>
      <c r="D16" s="349" t="s">
        <v>311</v>
      </c>
      <c r="E16" s="349" t="s">
        <v>112</v>
      </c>
    </row>
    <row r="17" spans="1:5" s="193" customFormat="1" ht="18.75" customHeight="1">
      <c r="A17" s="349"/>
      <c r="B17" s="349"/>
      <c r="C17" s="349"/>
      <c r="D17" s="349"/>
      <c r="E17" s="349"/>
    </row>
    <row r="18" spans="1:5" s="193" customFormat="1" ht="17.25" customHeight="1">
      <c r="A18" s="192">
        <v>1</v>
      </c>
      <c r="B18" s="192">
        <v>2</v>
      </c>
      <c r="C18" s="192">
        <v>3</v>
      </c>
      <c r="D18" s="192">
        <v>4</v>
      </c>
      <c r="E18" s="192" t="s">
        <v>312</v>
      </c>
    </row>
    <row r="19" spans="1:5" ht="17.25" customHeight="1">
      <c r="A19" s="194">
        <v>1</v>
      </c>
      <c r="B19" s="195" t="s">
        <v>24</v>
      </c>
      <c r="C19" s="196">
        <v>69540</v>
      </c>
      <c r="D19" s="197">
        <f>E19/C19</f>
        <v>1910.4155881507047</v>
      </c>
      <c r="E19" s="197">
        <v>132850300</v>
      </c>
    </row>
    <row r="20" spans="1:5" ht="17.25" customHeight="1">
      <c r="A20" s="194">
        <v>2</v>
      </c>
      <c r="B20" s="195" t="s">
        <v>370</v>
      </c>
      <c r="C20" s="196" t="s">
        <v>16</v>
      </c>
      <c r="D20" s="197" t="s">
        <v>16</v>
      </c>
      <c r="E20" s="197"/>
    </row>
    <row r="21" spans="1:5" ht="36.75" customHeight="1">
      <c r="A21" s="194">
        <v>3</v>
      </c>
      <c r="B21" s="195" t="s">
        <v>313</v>
      </c>
      <c r="C21" s="196">
        <v>69540</v>
      </c>
      <c r="D21" s="197">
        <f>E21/C21</f>
        <v>484.9007765314927</v>
      </c>
      <c r="E21" s="197">
        <v>33720000</v>
      </c>
    </row>
    <row r="22" spans="1:5" ht="21" customHeight="1">
      <c r="A22" s="194">
        <v>4</v>
      </c>
      <c r="B22" s="195" t="s">
        <v>370</v>
      </c>
      <c r="C22" s="196" t="s">
        <v>16</v>
      </c>
      <c r="D22" s="197" t="s">
        <v>16</v>
      </c>
      <c r="E22" s="197">
        <v>280000</v>
      </c>
    </row>
    <row r="23" spans="1:5" ht="17.25" customHeight="1">
      <c r="A23" s="254" t="s">
        <v>118</v>
      </c>
      <c r="B23" s="254"/>
      <c r="C23" s="198" t="s">
        <v>16</v>
      </c>
      <c r="D23" s="199">
        <f>D19+D21</f>
        <v>2395.316364682197</v>
      </c>
      <c r="E23" s="199">
        <f>SUM(E19:E22)</f>
        <v>166850300</v>
      </c>
    </row>
    <row r="24" spans="1:5" ht="15.75" customHeight="1">
      <c r="A24" s="201"/>
      <c r="B24" s="201"/>
      <c r="C24" s="141"/>
      <c r="D24" s="141"/>
      <c r="E24" s="110"/>
    </row>
    <row r="25" spans="1:5" ht="15.75" customHeight="1">
      <c r="A25" s="348" t="s">
        <v>314</v>
      </c>
      <c r="B25" s="348"/>
      <c r="C25" s="141"/>
      <c r="D25" s="141"/>
      <c r="E25" s="110">
        <f>E23</f>
        <v>166850300</v>
      </c>
    </row>
    <row r="26" spans="1:5" ht="30.75" customHeight="1">
      <c r="A26" s="323" t="s">
        <v>315</v>
      </c>
      <c r="B26" s="323"/>
      <c r="C26" s="323"/>
      <c r="D26" s="323"/>
      <c r="E26" s="323"/>
    </row>
    <row r="27" spans="1:253" ht="18.75" customHeight="1">
      <c r="A27" s="356" t="s">
        <v>316</v>
      </c>
      <c r="B27" s="356"/>
      <c r="C27" s="356"/>
      <c r="D27" s="190"/>
      <c r="E27" s="190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ht="17.25" customHeight="1">
      <c r="A28" s="202"/>
    </row>
    <row r="29" spans="1:5" s="193" customFormat="1" ht="17.25" customHeight="1">
      <c r="A29" s="349" t="s">
        <v>104</v>
      </c>
      <c r="B29" s="349" t="s">
        <v>317</v>
      </c>
      <c r="C29" s="349"/>
      <c r="D29" s="349"/>
      <c r="E29" s="349" t="s">
        <v>112</v>
      </c>
    </row>
    <row r="30" spans="1:5" ht="9.75" customHeight="1">
      <c r="A30" s="349"/>
      <c r="B30" s="349"/>
      <c r="C30" s="349"/>
      <c r="D30" s="349"/>
      <c r="E30" s="349"/>
    </row>
    <row r="31" spans="1:5" s="193" customFormat="1" ht="17.25" customHeight="1">
      <c r="A31" s="192">
        <v>1</v>
      </c>
      <c r="B31" s="349">
        <v>2</v>
      </c>
      <c r="C31" s="349"/>
      <c r="D31" s="349"/>
      <c r="E31" s="203">
        <v>3</v>
      </c>
    </row>
    <row r="32" spans="1:5" ht="17.25" customHeight="1">
      <c r="A32" s="194">
        <v>1</v>
      </c>
      <c r="B32" s="352" t="s">
        <v>318</v>
      </c>
      <c r="C32" s="352"/>
      <c r="D32" s="352"/>
      <c r="E32" s="197">
        <f>30000+3335600</f>
        <v>3365600</v>
      </c>
    </row>
    <row r="33" spans="1:5" ht="17.25" customHeight="1">
      <c r="A33" s="353" t="s">
        <v>118</v>
      </c>
      <c r="B33" s="353"/>
      <c r="C33" s="353"/>
      <c r="D33" s="353"/>
      <c r="E33" s="199">
        <f>SUM(E32:E32)</f>
        <v>3365600</v>
      </c>
    </row>
    <row r="34" ht="18.75">
      <c r="A34" s="202"/>
    </row>
    <row r="35" spans="1:253" ht="15.75" customHeight="1">
      <c r="A35" s="354" t="s">
        <v>319</v>
      </c>
      <c r="B35" s="354"/>
      <c r="C35" s="354"/>
      <c r="D35" s="354"/>
      <c r="E35" s="110">
        <f>E33</f>
        <v>3365600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ht="18.75">
      <c r="A36" s="202"/>
    </row>
    <row r="37" spans="1:5" ht="18.75" customHeight="1">
      <c r="A37" s="141"/>
      <c r="B37" s="341" t="s">
        <v>301</v>
      </c>
      <c r="C37" s="341"/>
      <c r="D37" s="341"/>
      <c r="E37" s="127">
        <f>E23+E35</f>
        <v>170215900</v>
      </c>
    </row>
    <row r="38" spans="1:5" ht="18.75">
      <c r="A38" s="183"/>
      <c r="E38" s="184" t="s">
        <v>320</v>
      </c>
    </row>
    <row r="39" spans="1:5" ht="18.75" customHeight="1">
      <c r="A39" s="291" t="s">
        <v>403</v>
      </c>
      <c r="B39" s="291"/>
      <c r="C39" s="179"/>
      <c r="D39" s="355" t="s">
        <v>404</v>
      </c>
      <c r="E39" s="355"/>
    </row>
    <row r="40" spans="1:5" ht="18.75" customHeight="1">
      <c r="A40" s="293" t="s">
        <v>302</v>
      </c>
      <c r="B40" s="293"/>
      <c r="C40" s="204" t="s">
        <v>77</v>
      </c>
      <c r="D40" s="299" t="s">
        <v>78</v>
      </c>
      <c r="E40" s="299"/>
    </row>
    <row r="41" spans="1:4" ht="18.75">
      <c r="A41" s="183"/>
      <c r="D41" s="184"/>
    </row>
    <row r="42" spans="1:5" ht="18.75" customHeight="1">
      <c r="A42" s="291" t="s">
        <v>79</v>
      </c>
      <c r="B42" s="291"/>
      <c r="C42" s="179"/>
      <c r="D42" s="351" t="s">
        <v>80</v>
      </c>
      <c r="E42" s="351"/>
    </row>
    <row r="43" spans="1:5" ht="18.75" customHeight="1">
      <c r="A43" s="293" t="s">
        <v>302</v>
      </c>
      <c r="B43" s="293"/>
      <c r="C43" s="204" t="s">
        <v>77</v>
      </c>
      <c r="D43" s="294" t="s">
        <v>78</v>
      </c>
      <c r="E43" s="294"/>
    </row>
    <row r="46" spans="1:9" ht="39.75" customHeight="1">
      <c r="A46" s="295"/>
      <c r="B46" s="295"/>
      <c r="C46" s="295"/>
      <c r="D46" s="295"/>
      <c r="E46" s="295"/>
      <c r="I46" s="185"/>
    </row>
  </sheetData>
  <sheetProtection selectLockedCells="1" selectUnlockedCells="1"/>
  <mergeCells count="38">
    <mergeCell ref="D1:E1"/>
    <mergeCell ref="C2:E2"/>
    <mergeCell ref="D3:E3"/>
    <mergeCell ref="A4:E4"/>
    <mergeCell ref="A5:E5"/>
    <mergeCell ref="A6:E6"/>
    <mergeCell ref="A7:E7"/>
    <mergeCell ref="A8:E8"/>
    <mergeCell ref="A9:E9"/>
    <mergeCell ref="A10:E10"/>
    <mergeCell ref="A11:E11"/>
    <mergeCell ref="A13:E13"/>
    <mergeCell ref="A14:C14"/>
    <mergeCell ref="A16:A17"/>
    <mergeCell ref="B16:B17"/>
    <mergeCell ref="C16:C17"/>
    <mergeCell ref="D16:D17"/>
    <mergeCell ref="E16:E17"/>
    <mergeCell ref="A26:E26"/>
    <mergeCell ref="A27:C27"/>
    <mergeCell ref="A29:A30"/>
    <mergeCell ref="B29:D30"/>
    <mergeCell ref="E29:E30"/>
    <mergeCell ref="A25:B25"/>
    <mergeCell ref="B31:D31"/>
    <mergeCell ref="B32:D32"/>
    <mergeCell ref="A33:D33"/>
    <mergeCell ref="A35:D35"/>
    <mergeCell ref="B37:D37"/>
    <mergeCell ref="A39:B39"/>
    <mergeCell ref="D39:E39"/>
    <mergeCell ref="A46:E46"/>
    <mergeCell ref="A40:B40"/>
    <mergeCell ref="D40:E40"/>
    <mergeCell ref="A42:B42"/>
    <mergeCell ref="D42:E42"/>
    <mergeCell ref="A43:B43"/>
    <mergeCell ref="D43:E43"/>
  </mergeCells>
  <printOptions/>
  <pageMargins left="1.18125" right="0.39375" top="0.39375" bottom="0.39375" header="0.5118055555555555" footer="0.5118055555555555"/>
  <pageSetup fitToHeight="1" fitToWidth="1"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"/>
  <sheetViews>
    <sheetView zoomScalePageLayoutView="0" workbookViewId="0" topLeftCell="A25">
      <selection activeCell="D42" sqref="D42:E42"/>
    </sheetView>
  </sheetViews>
  <sheetFormatPr defaultColWidth="9.140625" defaultRowHeight="15"/>
  <cols>
    <col min="1" max="1" width="5.8515625" style="77" customWidth="1"/>
    <col min="2" max="2" width="94.421875" style="77" customWidth="1"/>
    <col min="3" max="3" width="24.8515625" style="77" customWidth="1"/>
    <col min="4" max="4" width="18.8515625" style="77" customWidth="1"/>
    <col min="5" max="5" width="19.7109375" style="77" customWidth="1"/>
    <col min="6" max="254" width="9.00390625" style="77" customWidth="1"/>
  </cols>
  <sheetData>
    <row r="1" spans="1:5" ht="22.5" customHeight="1">
      <c r="A1" s="75"/>
      <c r="B1" s="75"/>
      <c r="C1" s="75"/>
      <c r="D1" s="359" t="s">
        <v>305</v>
      </c>
      <c r="E1" s="359"/>
    </row>
    <row r="2" spans="1:5" ht="94.5" customHeight="1">
      <c r="A2" s="75"/>
      <c r="B2" s="75"/>
      <c r="C2" s="360" t="s">
        <v>92</v>
      </c>
      <c r="D2" s="360"/>
      <c r="E2" s="360"/>
    </row>
    <row r="3" spans="1:5" ht="39" customHeight="1">
      <c r="A3" s="75"/>
      <c r="B3" s="75"/>
      <c r="C3" s="75"/>
      <c r="D3" s="293"/>
      <c r="E3" s="293"/>
    </row>
    <row r="4" spans="1:5" ht="15.75" customHeight="1">
      <c r="A4" s="338" t="s">
        <v>397</v>
      </c>
      <c r="B4" s="338"/>
      <c r="C4" s="338"/>
      <c r="D4" s="338"/>
      <c r="E4" s="338"/>
    </row>
    <row r="5" spans="1:5" ht="15.75" customHeight="1">
      <c r="A5" s="338" t="s">
        <v>93</v>
      </c>
      <c r="B5" s="338"/>
      <c r="C5" s="338"/>
      <c r="D5" s="338"/>
      <c r="E5" s="338"/>
    </row>
    <row r="6" spans="1:5" ht="18.75" customHeight="1">
      <c r="A6" s="338" t="s">
        <v>94</v>
      </c>
      <c r="B6" s="338"/>
      <c r="C6" s="338"/>
      <c r="D6" s="338"/>
      <c r="E6" s="338"/>
    </row>
    <row r="7" spans="1:5" ht="18.75" customHeight="1">
      <c r="A7" s="357" t="s">
        <v>95</v>
      </c>
      <c r="B7" s="357"/>
      <c r="C7" s="357"/>
      <c r="D7" s="357"/>
      <c r="E7" s="357"/>
    </row>
    <row r="8" spans="1:5" ht="22.5" customHeight="1">
      <c r="A8" s="358" t="s">
        <v>96</v>
      </c>
      <c r="B8" s="358"/>
      <c r="C8" s="358"/>
      <c r="D8" s="358"/>
      <c r="E8" s="358"/>
    </row>
    <row r="9" spans="1:5" ht="18.75" customHeight="1">
      <c r="A9" s="357" t="s">
        <v>97</v>
      </c>
      <c r="B9" s="357"/>
      <c r="C9" s="357"/>
      <c r="D9" s="357"/>
      <c r="E9" s="357"/>
    </row>
    <row r="10" spans="1:5" ht="18.75" customHeight="1">
      <c r="A10" s="325" t="s">
        <v>322</v>
      </c>
      <c r="B10" s="325"/>
      <c r="C10" s="325"/>
      <c r="D10" s="325"/>
      <c r="E10" s="325"/>
    </row>
    <row r="11" spans="1:253" ht="15.75" customHeight="1">
      <c r="A11" s="343" t="s">
        <v>99</v>
      </c>
      <c r="B11" s="343"/>
      <c r="C11" s="343"/>
      <c r="D11" s="343"/>
      <c r="E11" s="343"/>
      <c r="IS11"/>
    </row>
    <row r="12" spans="1:5" ht="12" customHeight="1">
      <c r="A12" s="75"/>
      <c r="B12" s="189"/>
      <c r="C12" s="189"/>
      <c r="D12" s="189"/>
      <c r="E12" s="189"/>
    </row>
    <row r="13" spans="1:5" ht="76.5" customHeight="1">
      <c r="A13" s="323" t="s">
        <v>307</v>
      </c>
      <c r="B13" s="323"/>
      <c r="C13" s="323"/>
      <c r="D13" s="323"/>
      <c r="E13" s="323"/>
    </row>
    <row r="14" spans="1:253" ht="18.75" customHeight="1">
      <c r="A14" s="350" t="s">
        <v>308</v>
      </c>
      <c r="B14" s="350"/>
      <c r="C14" s="350"/>
      <c r="D14" s="190"/>
      <c r="E14" s="190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>
      <c r="A15" s="82"/>
      <c r="B15" s="191"/>
      <c r="C15" s="191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5" s="193" customFormat="1" ht="34.5" customHeight="1">
      <c r="A16" s="349" t="s">
        <v>104</v>
      </c>
      <c r="B16" s="349" t="s">
        <v>309</v>
      </c>
      <c r="C16" s="349" t="s">
        <v>310</v>
      </c>
      <c r="D16" s="349" t="s">
        <v>311</v>
      </c>
      <c r="E16" s="349" t="s">
        <v>112</v>
      </c>
    </row>
    <row r="17" spans="1:5" s="193" customFormat="1" ht="18.75" customHeight="1">
      <c r="A17" s="349"/>
      <c r="B17" s="349"/>
      <c r="C17" s="349"/>
      <c r="D17" s="349"/>
      <c r="E17" s="349"/>
    </row>
    <row r="18" spans="1:5" s="193" customFormat="1" ht="17.25" customHeight="1">
      <c r="A18" s="192">
        <v>1</v>
      </c>
      <c r="B18" s="192">
        <v>2</v>
      </c>
      <c r="C18" s="192">
        <v>3</v>
      </c>
      <c r="D18" s="192">
        <v>4</v>
      </c>
      <c r="E18" s="192" t="s">
        <v>312</v>
      </c>
    </row>
    <row r="19" spans="1:5" ht="17.25" customHeight="1">
      <c r="A19" s="194">
        <v>1</v>
      </c>
      <c r="B19" s="195" t="s">
        <v>24</v>
      </c>
      <c r="C19" s="196">
        <v>69350</v>
      </c>
      <c r="D19" s="197">
        <f>E19/C19</f>
        <v>1708.4051910598414</v>
      </c>
      <c r="E19" s="197">
        <v>118477900</v>
      </c>
    </row>
    <row r="20" spans="1:5" ht="17.25" customHeight="1">
      <c r="A20" s="194">
        <v>2</v>
      </c>
      <c r="B20" s="195" t="s">
        <v>370</v>
      </c>
      <c r="C20" s="196" t="s">
        <v>16</v>
      </c>
      <c r="D20" s="197" t="s">
        <v>16</v>
      </c>
      <c r="E20" s="197"/>
    </row>
    <row r="21" spans="1:5" ht="36.75" customHeight="1">
      <c r="A21" s="194">
        <v>3</v>
      </c>
      <c r="B21" s="195" t="s">
        <v>313</v>
      </c>
      <c r="C21" s="196">
        <v>69350</v>
      </c>
      <c r="D21" s="197">
        <f>E21/C21</f>
        <v>486.22927180966116</v>
      </c>
      <c r="E21" s="197">
        <v>33720000</v>
      </c>
    </row>
    <row r="22" spans="1:5" ht="21" customHeight="1">
      <c r="A22" s="194">
        <v>4</v>
      </c>
      <c r="B22" s="195" t="s">
        <v>370</v>
      </c>
      <c r="C22" s="196" t="s">
        <v>16</v>
      </c>
      <c r="D22" s="197" t="s">
        <v>16</v>
      </c>
      <c r="E22" s="197">
        <v>280000</v>
      </c>
    </row>
    <row r="23" spans="1:5" ht="17.25" customHeight="1">
      <c r="A23" s="254" t="s">
        <v>118</v>
      </c>
      <c r="B23" s="254"/>
      <c r="C23" s="198" t="s">
        <v>16</v>
      </c>
      <c r="D23" s="199">
        <f>D19+D21</f>
        <v>2194.6344628695024</v>
      </c>
      <c r="E23" s="199">
        <f>SUM(E19:E22)</f>
        <v>152477900</v>
      </c>
    </row>
    <row r="24" spans="1:5" ht="15.75" customHeight="1">
      <c r="A24" s="200"/>
      <c r="B24" s="200"/>
      <c r="C24" s="141"/>
      <c r="D24" s="141"/>
      <c r="E24" s="110"/>
    </row>
    <row r="25" spans="1:5" ht="15.75" customHeight="1">
      <c r="A25" s="348" t="s">
        <v>314</v>
      </c>
      <c r="B25" s="348"/>
      <c r="C25" s="141"/>
      <c r="D25" s="141"/>
      <c r="E25" s="110">
        <f>E23</f>
        <v>152477900</v>
      </c>
    </row>
    <row r="26" spans="1:5" ht="15.75" customHeight="1">
      <c r="A26" s="201"/>
      <c r="B26" s="201"/>
      <c r="C26" s="141"/>
      <c r="D26" s="141"/>
      <c r="E26" s="110"/>
    </row>
    <row r="27" spans="1:5" ht="30.75" customHeight="1">
      <c r="A27" s="323" t="s">
        <v>315</v>
      </c>
      <c r="B27" s="323"/>
      <c r="C27" s="323"/>
      <c r="D27" s="323"/>
      <c r="E27" s="323"/>
    </row>
    <row r="28" spans="1:253" ht="18.75" customHeight="1">
      <c r="A28" s="356" t="s">
        <v>316</v>
      </c>
      <c r="B28" s="356"/>
      <c r="C28" s="356"/>
      <c r="D28" s="190"/>
      <c r="E28" s="190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ht="17.25" customHeight="1">
      <c r="A29" s="202"/>
    </row>
    <row r="30" spans="1:5" s="193" customFormat="1" ht="17.25" customHeight="1">
      <c r="A30" s="349" t="s">
        <v>104</v>
      </c>
      <c r="B30" s="349" t="s">
        <v>317</v>
      </c>
      <c r="C30" s="349"/>
      <c r="D30" s="349"/>
      <c r="E30" s="349" t="s">
        <v>112</v>
      </c>
    </row>
    <row r="31" spans="1:5" ht="9.75" customHeight="1">
      <c r="A31" s="349"/>
      <c r="B31" s="349"/>
      <c r="C31" s="349"/>
      <c r="D31" s="349"/>
      <c r="E31" s="349"/>
    </row>
    <row r="32" spans="1:5" s="193" customFormat="1" ht="17.25" customHeight="1">
      <c r="A32" s="192">
        <v>1</v>
      </c>
      <c r="B32" s="349">
        <v>2</v>
      </c>
      <c r="C32" s="349"/>
      <c r="D32" s="349"/>
      <c r="E32" s="203">
        <v>3</v>
      </c>
    </row>
    <row r="33" spans="1:5" ht="17.25" customHeight="1">
      <c r="A33" s="194">
        <v>1</v>
      </c>
      <c r="B33" s="352" t="s">
        <v>318</v>
      </c>
      <c r="C33" s="352"/>
      <c r="D33" s="352"/>
      <c r="E33" s="197">
        <v>40000</v>
      </c>
    </row>
    <row r="34" spans="1:5" ht="17.25" customHeight="1">
      <c r="A34" s="353" t="s">
        <v>118</v>
      </c>
      <c r="B34" s="353"/>
      <c r="C34" s="353"/>
      <c r="D34" s="353"/>
      <c r="E34" s="199">
        <f>SUM(E33:E33)</f>
        <v>40000</v>
      </c>
    </row>
    <row r="35" ht="18.75">
      <c r="A35" s="202"/>
    </row>
    <row r="36" spans="1:253" ht="15.75" customHeight="1">
      <c r="A36" s="354" t="s">
        <v>319</v>
      </c>
      <c r="B36" s="354"/>
      <c r="C36" s="354"/>
      <c r="D36" s="354"/>
      <c r="E36" s="110">
        <f>E34</f>
        <v>40000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ht="18.75">
      <c r="A37" s="202"/>
    </row>
    <row r="38" spans="1:5" ht="18.75" customHeight="1">
      <c r="A38" s="141"/>
      <c r="B38" s="361" t="s">
        <v>301</v>
      </c>
      <c r="C38" s="361"/>
      <c r="D38" s="361"/>
      <c r="E38" s="111">
        <f>E25+E36</f>
        <v>152517900</v>
      </c>
    </row>
    <row r="39" spans="1:5" ht="18.75" customHeight="1">
      <c r="A39" s="141"/>
      <c r="B39" s="187"/>
      <c r="C39" s="187"/>
      <c r="D39" s="187"/>
      <c r="E39" s="110"/>
    </row>
    <row r="40" spans="1:5" ht="18.75" customHeight="1">
      <c r="A40" s="141"/>
      <c r="B40" s="187"/>
      <c r="C40" s="187"/>
      <c r="D40" s="187"/>
      <c r="E40" s="110"/>
    </row>
    <row r="41" spans="1:5" ht="18.75">
      <c r="A41" s="183"/>
      <c r="E41" s="184" t="s">
        <v>320</v>
      </c>
    </row>
    <row r="42" spans="1:5" ht="18.75" customHeight="1">
      <c r="A42" s="291" t="s">
        <v>403</v>
      </c>
      <c r="B42" s="291"/>
      <c r="C42" s="179"/>
      <c r="D42" s="355" t="s">
        <v>404</v>
      </c>
      <c r="E42" s="355"/>
    </row>
    <row r="43" spans="1:5" ht="18.75" customHeight="1">
      <c r="A43" s="293" t="s">
        <v>302</v>
      </c>
      <c r="B43" s="293"/>
      <c r="C43" s="204" t="s">
        <v>77</v>
      </c>
      <c r="D43" s="299" t="s">
        <v>78</v>
      </c>
      <c r="E43" s="299"/>
    </row>
    <row r="44" spans="1:4" ht="18.75">
      <c r="A44" s="183"/>
      <c r="D44" s="184"/>
    </row>
    <row r="45" spans="1:6" ht="18.75" customHeight="1">
      <c r="A45" s="291" t="s">
        <v>79</v>
      </c>
      <c r="B45" s="291"/>
      <c r="C45" s="179"/>
      <c r="D45" s="351" t="s">
        <v>80</v>
      </c>
      <c r="E45" s="351"/>
      <c r="F45" s="181"/>
    </row>
    <row r="46" spans="1:5" ht="18.75" customHeight="1">
      <c r="A46" s="293" t="s">
        <v>302</v>
      </c>
      <c r="B46" s="293"/>
      <c r="C46" s="204" t="s">
        <v>77</v>
      </c>
      <c r="D46" s="294" t="s">
        <v>78</v>
      </c>
      <c r="E46" s="294"/>
    </row>
    <row r="49" spans="1:9" ht="39.75" customHeight="1">
      <c r="A49" s="295"/>
      <c r="B49" s="295"/>
      <c r="C49" s="295"/>
      <c r="D49" s="295"/>
      <c r="E49" s="295"/>
      <c r="I49" s="185"/>
    </row>
  </sheetData>
  <sheetProtection selectLockedCells="1" selectUnlockedCells="1"/>
  <mergeCells count="38">
    <mergeCell ref="D1:E1"/>
    <mergeCell ref="C2:E2"/>
    <mergeCell ref="D3:E3"/>
    <mergeCell ref="A4:E4"/>
    <mergeCell ref="A5:E5"/>
    <mergeCell ref="A6:E6"/>
    <mergeCell ref="A7:E7"/>
    <mergeCell ref="A8:E8"/>
    <mergeCell ref="A9:E9"/>
    <mergeCell ref="A10:E10"/>
    <mergeCell ref="A11:E11"/>
    <mergeCell ref="A13:E13"/>
    <mergeCell ref="A14:C14"/>
    <mergeCell ref="A16:A17"/>
    <mergeCell ref="B16:B17"/>
    <mergeCell ref="C16:C17"/>
    <mergeCell ref="D16:D17"/>
    <mergeCell ref="E16:E17"/>
    <mergeCell ref="A25:B25"/>
    <mergeCell ref="A27:E27"/>
    <mergeCell ref="A28:C28"/>
    <mergeCell ref="A30:A31"/>
    <mergeCell ref="B30:D31"/>
    <mergeCell ref="E30:E31"/>
    <mergeCell ref="B32:D32"/>
    <mergeCell ref="B33:D33"/>
    <mergeCell ref="A34:D34"/>
    <mergeCell ref="A36:D36"/>
    <mergeCell ref="B38:D38"/>
    <mergeCell ref="A42:B42"/>
    <mergeCell ref="D42:E42"/>
    <mergeCell ref="A49:E49"/>
    <mergeCell ref="A43:B43"/>
    <mergeCell ref="D43:E43"/>
    <mergeCell ref="A45:B45"/>
    <mergeCell ref="D45:E45"/>
    <mergeCell ref="A46:B46"/>
    <mergeCell ref="D46:E46"/>
  </mergeCells>
  <printOptions/>
  <pageMargins left="1.18125" right="0.39375" top="0.39375" bottom="0.39375" header="0.5118055555555555" footer="0.511805555555555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INNA</dc:creator>
  <cp:keywords/>
  <dc:description/>
  <cp:lastModifiedBy>INNA</cp:lastModifiedBy>
  <cp:lastPrinted>2023-12-18T13:15:25Z</cp:lastPrinted>
  <dcterms:created xsi:type="dcterms:W3CDTF">2022-08-15T07:49:05Z</dcterms:created>
  <dcterms:modified xsi:type="dcterms:W3CDTF">2023-12-19T06:14:18Z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